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งบ 59\Web upload กองงบประมาณ\"/>
    </mc:Choice>
  </mc:AlternateContent>
  <bookViews>
    <workbookView xWindow="360" yWindow="120" windowWidth="11340" windowHeight="6285" tabRatio="713" activeTab="3"/>
  </bookViews>
  <sheets>
    <sheet name="สรุป PO" sheetId="93" r:id="rId1"/>
    <sheet name="สรุปรายการงบ" sheetId="94" r:id="rId2"/>
    <sheet name="ตร." sheetId="80" r:id="rId3"/>
    <sheet name="บช.น." sheetId="19" r:id="rId4"/>
    <sheet name="ภ.1" sheetId="5" r:id="rId5"/>
    <sheet name="ภ.2" sheetId="9" r:id="rId6"/>
    <sheet name="ภ.3" sheetId="14" r:id="rId7"/>
    <sheet name="ภ.4" sheetId="25" r:id="rId8"/>
    <sheet name="ภ.5" sheetId="4" r:id="rId9"/>
    <sheet name="ภ.6" sheetId="24" r:id="rId10"/>
    <sheet name="ภ.7" sheetId="23" r:id="rId11"/>
    <sheet name="ภ.8" sheetId="22" r:id="rId12"/>
    <sheet name="ภ.9" sheetId="21" r:id="rId13"/>
    <sheet name="ศชต." sheetId="20" r:id="rId14"/>
    <sheet name="บช.ก." sheetId="18" r:id="rId15"/>
    <sheet name="รน." sheetId="77" r:id="rId16"/>
    <sheet name="บช.ปส." sheetId="35" r:id="rId17"/>
    <sheet name="บช.ส." sheetId="17" r:id="rId18"/>
    <sheet name="สตม." sheetId="16" r:id="rId19"/>
    <sheet name="บช.ตชด." sheetId="15" r:id="rId20"/>
    <sheet name="สง.นรป." sheetId="88" r:id="rId21"/>
    <sheet name="สพฐ.ตร." sheetId="11" r:id="rId22"/>
    <sheet name="สทส." sheetId="8" r:id="rId23"/>
    <sheet name="บช.ศ." sheetId="42" r:id="rId24"/>
    <sheet name="รร.นรต." sheetId="43" r:id="rId25"/>
    <sheet name="รพ.ตร." sheetId="7" r:id="rId26"/>
    <sheet name="สยศ.ตร." sheetId="67" r:id="rId27"/>
    <sheet name="สกบ." sheetId="45" r:id="rId28"/>
    <sheet name="สกพ." sheetId="47" r:id="rId29"/>
    <sheet name="สงป." sheetId="83" r:id="rId30"/>
    <sheet name="กมค." sheetId="73" r:id="rId31"/>
    <sheet name="สง.ก.ตร." sheetId="62" r:id="rId32"/>
    <sheet name="จต." sheetId="44" r:id="rId33"/>
    <sheet name="สตส." sheetId="70" r:id="rId34"/>
    <sheet name="สลก.ตร." sheetId="48" r:id="rId35"/>
    <sheet name="ตท." sheetId="69" r:id="rId36"/>
    <sheet name="สท." sheetId="36" r:id="rId37"/>
    <sheet name="สง.ก.ต.ช." sheetId="87" r:id="rId38"/>
    <sheet name="บ.ตร." sheetId="26" r:id="rId39"/>
    <sheet name="วน." sheetId="71" r:id="rId40"/>
    <sheet name="สรุป" sheetId="79" r:id="rId41"/>
    <sheet name="Sheet2" sheetId="81" state="hidden" r:id="rId42"/>
    <sheet name="Sheet3" sheetId="82" r:id="rId43"/>
    <sheet name="Units" sheetId="89" r:id="rId44"/>
    <sheet name="งบรายจ่ายอื่น" sheetId="91" r:id="rId45"/>
    <sheet name="จัดลำดับ" sheetId="84" state="hidden" r:id="rId46"/>
    <sheet name="Sheet4" sheetId="85" state="hidden" r:id="rId47"/>
    <sheet name="Sheet1" sheetId="78" state="hidden" r:id="rId48"/>
  </sheets>
  <externalReferences>
    <externalReference r:id="rId49"/>
    <externalReference r:id="rId50"/>
    <externalReference r:id="rId51"/>
    <externalReference r:id="rId52"/>
    <externalReference r:id="rId53"/>
  </externalReferences>
  <definedNames>
    <definedName name="_xlnm._FilterDatabase" localSheetId="30" hidden="1">กมค.!$O$1:$O$29</definedName>
    <definedName name="_xlnm._FilterDatabase" localSheetId="32" hidden="1">จต.!$O$1:$O$25</definedName>
    <definedName name="_xlnm._FilterDatabase" localSheetId="35" hidden="1">ตท.!$N$1:$N$28</definedName>
    <definedName name="_xlnm._FilterDatabase" localSheetId="38" hidden="1">บ.ตร.!$O$1:$O$32</definedName>
    <definedName name="_xlnm._FilterDatabase" localSheetId="14" hidden="1">บช.ก.!$O$1:$O$43</definedName>
    <definedName name="_xlnm._FilterDatabase" localSheetId="19" hidden="1">บช.ตชด.!$O$1:$O$62</definedName>
    <definedName name="_xlnm._FilterDatabase" localSheetId="3" hidden="1">บช.น.!$O$1:$O$29</definedName>
    <definedName name="_xlnm._FilterDatabase" localSheetId="16" hidden="1">บช.ปส.!$O$1:$O$65</definedName>
    <definedName name="_xlnm._FilterDatabase" localSheetId="23" hidden="1">บช.ศ.!$O$1:$O$45</definedName>
    <definedName name="_xlnm._FilterDatabase" localSheetId="17" hidden="1">บช.ส.!$O$1:$O$29</definedName>
    <definedName name="_xlnm._FilterDatabase" localSheetId="4" hidden="1">ภ.1!$O$1:$O$25</definedName>
    <definedName name="_xlnm._FilterDatabase" localSheetId="5" hidden="1">ภ.2!$O$1:$O$32</definedName>
    <definedName name="_xlnm._FilterDatabase" localSheetId="6" hidden="1">ภ.3!$O$1:$O$29</definedName>
    <definedName name="_xlnm._FilterDatabase" localSheetId="7" hidden="1">ภ.4!$O$1:$O$27</definedName>
    <definedName name="_xlnm._FilterDatabase" localSheetId="8" hidden="1">ภ.5!$O$1:$O$40</definedName>
    <definedName name="_xlnm._FilterDatabase" localSheetId="9" hidden="1">ภ.6!$O$1:$O$40</definedName>
    <definedName name="_xlnm._FilterDatabase" localSheetId="10" hidden="1">ภ.7!$O$1:$O$27</definedName>
    <definedName name="_xlnm._FilterDatabase" localSheetId="11" hidden="1">ภ.8!$O$1:$O$43</definedName>
    <definedName name="_xlnm._FilterDatabase" localSheetId="12" hidden="1">ภ.9!$O$1:$O$32</definedName>
    <definedName name="_xlnm._FilterDatabase" localSheetId="25" hidden="1">รพ.ตร.!$O$1:$O$26</definedName>
    <definedName name="_xlnm._FilterDatabase" localSheetId="24" hidden="1">รร.นรต.!$O$1:$O$26</definedName>
    <definedName name="_xlnm._FilterDatabase" localSheetId="39" hidden="1">วน.!$N$1:$N$25</definedName>
    <definedName name="_xlnm._FilterDatabase" localSheetId="13" hidden="1">ศชต.!$O$1:$O$46</definedName>
    <definedName name="_xlnm._FilterDatabase" localSheetId="27" hidden="1">สกบ.!$O$1:$O$63</definedName>
    <definedName name="_xlnm._FilterDatabase" localSheetId="28" hidden="1">สกพ.!$O$1:$O$30</definedName>
    <definedName name="_xlnm._FilterDatabase" localSheetId="31" hidden="1">สง.ก.ตร.!$N$1:$N$25</definedName>
    <definedName name="_xlnm._FilterDatabase" localSheetId="20" hidden="1">สง.นรป.!$O$1:$O$25</definedName>
    <definedName name="_xlnm._FilterDatabase" localSheetId="29" hidden="1">สงป.!$N$1:$N$26</definedName>
    <definedName name="_xlnm._FilterDatabase" localSheetId="18" hidden="1">สตม.!$O$1:$O$42</definedName>
    <definedName name="_xlnm._FilterDatabase" localSheetId="36" hidden="1">สท.!$O$1:$O$31</definedName>
    <definedName name="_xlnm._FilterDatabase" localSheetId="22" hidden="1">สทส.!$O$1:$O$32</definedName>
    <definedName name="_xlnm._FilterDatabase" localSheetId="21" hidden="1">สพฐ.ตร.!$O$1:$O$26</definedName>
    <definedName name="_xlnm._FilterDatabase" localSheetId="26" hidden="1">สยศ.ตร.!$O$1:$O$26</definedName>
    <definedName name="_xlnm._FilterDatabase" localSheetId="34" hidden="1">สลก.ตร.!$N$1:$N$26</definedName>
    <definedName name="_xlnm.Print_Area" localSheetId="35">ตท.!$A$1:$AT$24</definedName>
    <definedName name="_xlnm.Print_Area" localSheetId="14">บช.ก.!$A$1:$T$39</definedName>
    <definedName name="_xlnm.Print_Area" localSheetId="4">ภ.1!$A$1:$AV$21</definedName>
    <definedName name="_xlnm.Print_Area" localSheetId="5">ภ.2!$1:$38</definedName>
    <definedName name="_xlnm.Print_Area" localSheetId="6">ภ.3!$A$1:$BH$34</definedName>
    <definedName name="_xlnm.Print_Area" localSheetId="12">ภ.9!$A$1:$AU$28</definedName>
    <definedName name="_xlnm.Print_Area" localSheetId="13">ศชต.!$A$1:$T$42</definedName>
    <definedName name="_xlnm.Print_Area" localSheetId="28">สกพ.!$A$1:$AU$26</definedName>
    <definedName name="_xlnm.Print_Area" localSheetId="37">สง.ก.ต.ช.!$A$1:$AS$23</definedName>
    <definedName name="_xlnm.Print_Area" localSheetId="31">สง.ก.ตร.!$A$1:$AT$21</definedName>
    <definedName name="_xlnm.Print_Area" localSheetId="20">สง.นรป.!$A$1:$AU$21</definedName>
    <definedName name="_xlnm.Print_Area" localSheetId="18">สตม.!$A$1:$AU$38</definedName>
    <definedName name="_xlnm.Print_Area" localSheetId="33">สตส.!$A$1:$AZ$21</definedName>
    <definedName name="_xlnm.Print_Area" localSheetId="34">สลก.ตร.!$A$1:$AT$22</definedName>
    <definedName name="_xlnm.Print_Titles" localSheetId="41">Sheet2!$A:$B,Sheet2!$1:$4</definedName>
    <definedName name="_xlnm.Print_Titles" localSheetId="42">Sheet3!$1:$2</definedName>
    <definedName name="_xlnm.Print_Titles" localSheetId="46">Sheet4!$1:$4</definedName>
    <definedName name="_xlnm.Print_Titles" localSheetId="43">Units!$8:$9</definedName>
    <definedName name="_xlnm.Print_Titles" localSheetId="30">กมค.!$5:$8</definedName>
    <definedName name="_xlnm.Print_Titles" localSheetId="32">จต.!$5:$8</definedName>
    <definedName name="_xlnm.Print_Titles" localSheetId="38">บ.ตร.!$5:$8</definedName>
    <definedName name="_xlnm.Print_Titles" localSheetId="14">บช.ก.!$5:$8</definedName>
    <definedName name="_xlnm.Print_Titles" localSheetId="19">บช.ตชด.!$5:$8</definedName>
    <definedName name="_xlnm.Print_Titles" localSheetId="3">บช.น.!$5:$8</definedName>
    <definedName name="_xlnm.Print_Titles" localSheetId="16">บช.ปส.!$5:$8</definedName>
    <definedName name="_xlnm.Print_Titles" localSheetId="23">บช.ศ.!$5:$8</definedName>
    <definedName name="_xlnm.Print_Titles" localSheetId="17">บช.ส.!$5:$8</definedName>
    <definedName name="_xlnm.Print_Titles" localSheetId="4">ภ.1!$5:$8</definedName>
    <definedName name="_xlnm.Print_Titles" localSheetId="5">ภ.2!$5:$8</definedName>
    <definedName name="_xlnm.Print_Titles" localSheetId="6">ภ.3!$5:$8</definedName>
    <definedName name="_xlnm.Print_Titles" localSheetId="7">ภ.4!$5:$8</definedName>
    <definedName name="_xlnm.Print_Titles" localSheetId="8">ภ.5!$5:$8</definedName>
    <definedName name="_xlnm.Print_Titles" localSheetId="9">ภ.6!$5:$8</definedName>
    <definedName name="_xlnm.Print_Titles" localSheetId="10">ภ.7!$5:$8</definedName>
    <definedName name="_xlnm.Print_Titles" localSheetId="11">ภ.8!$5:$8</definedName>
    <definedName name="_xlnm.Print_Titles" localSheetId="12">ภ.9!$5:$8</definedName>
    <definedName name="_xlnm.Print_Titles" localSheetId="25">รพ.ตร.!$5:$8</definedName>
    <definedName name="_xlnm.Print_Titles" localSheetId="24">รร.นรต.!$5:$8</definedName>
    <definedName name="_xlnm.Print_Titles" localSheetId="13">ศชต.!$5:$8</definedName>
    <definedName name="_xlnm.Print_Titles" localSheetId="27">สกบ.!$5:$8</definedName>
    <definedName name="_xlnm.Print_Titles" localSheetId="28">สกพ.!$5:$8</definedName>
    <definedName name="_xlnm.Print_Titles" localSheetId="31">สง.ก.ตร.!$5:$8</definedName>
    <definedName name="_xlnm.Print_Titles" localSheetId="29">สงป.!$5:$8</definedName>
    <definedName name="_xlnm.Print_Titles" localSheetId="18">สตม.!$5:$8</definedName>
    <definedName name="_xlnm.Print_Titles" localSheetId="33">สตส.!$5:$8</definedName>
    <definedName name="_xlnm.Print_Titles" localSheetId="36">สท.!$5:$8</definedName>
    <definedName name="_xlnm.Print_Titles" localSheetId="22">สทส.!$5:$8</definedName>
    <definedName name="_xlnm.Print_Titles" localSheetId="21">สพฐ.ตร.!$5:$8</definedName>
    <definedName name="_xlnm.Print_Titles" localSheetId="26">สยศ.ตร.!$5:$8</definedName>
    <definedName name="_xlnm.Print_Titles" localSheetId="34">สลก.ตร.!$5:$8</definedName>
  </definedNames>
  <calcPr calcId="152511"/>
</workbook>
</file>

<file path=xl/calcChain.xml><?xml version="1.0" encoding="utf-8"?>
<calcChain xmlns="http://schemas.openxmlformats.org/spreadsheetml/2006/main">
  <c r="A14" i="7" l="1"/>
  <c r="A14" i="43"/>
  <c r="A18" i="11"/>
  <c r="A13" i="11"/>
  <c r="A21" i="19"/>
  <c r="A42" i="45" l="1"/>
  <c r="A19" i="8"/>
  <c r="A33" i="16"/>
  <c r="A38" i="20"/>
  <c r="A21" i="20"/>
  <c r="A32" i="4"/>
  <c r="AC41" i="94" l="1"/>
  <c r="AB41" i="94"/>
  <c r="X41" i="94"/>
  <c r="W41" i="94"/>
  <c r="S41" i="94"/>
  <c r="R41" i="94"/>
  <c r="N41" i="94"/>
  <c r="M41" i="94"/>
  <c r="I41" i="94"/>
  <c r="H41" i="94"/>
  <c r="D41" i="94"/>
  <c r="AC40" i="94"/>
  <c r="AB40" i="94"/>
  <c r="X40" i="94"/>
  <c r="W40" i="94"/>
  <c r="S40" i="94"/>
  <c r="R40" i="94"/>
  <c r="N40" i="94"/>
  <c r="M40" i="94"/>
  <c r="I40" i="94"/>
  <c r="H40" i="94"/>
  <c r="D40" i="94"/>
  <c r="AC39" i="94"/>
  <c r="AB39" i="94"/>
  <c r="X39" i="94"/>
  <c r="W39" i="94"/>
  <c r="S39" i="94"/>
  <c r="R39" i="94"/>
  <c r="N39" i="94"/>
  <c r="M39" i="94"/>
  <c r="I39" i="94"/>
  <c r="H39" i="94"/>
  <c r="D39" i="94"/>
  <c r="C39" i="94"/>
  <c r="AC38" i="94"/>
  <c r="AB38" i="94"/>
  <c r="X38" i="94"/>
  <c r="W38" i="94"/>
  <c r="S38" i="94"/>
  <c r="R38" i="94"/>
  <c r="N38" i="94"/>
  <c r="M38" i="94"/>
  <c r="I38" i="94"/>
  <c r="H38" i="94"/>
  <c r="D38" i="94"/>
  <c r="C38" i="94"/>
  <c r="AC37" i="94"/>
  <c r="AB37" i="94"/>
  <c r="X37" i="94"/>
  <c r="W37" i="94"/>
  <c r="S37" i="94"/>
  <c r="R37" i="94"/>
  <c r="N37" i="94"/>
  <c r="M37" i="94"/>
  <c r="I37" i="94"/>
  <c r="H37" i="94"/>
  <c r="D37" i="94"/>
  <c r="AC36" i="94"/>
  <c r="AB36" i="94"/>
  <c r="X36" i="94"/>
  <c r="W36" i="94"/>
  <c r="S36" i="94"/>
  <c r="R36" i="94"/>
  <c r="N36" i="94"/>
  <c r="M36" i="94"/>
  <c r="I36" i="94"/>
  <c r="H36" i="94"/>
  <c r="D36" i="94"/>
  <c r="AC35" i="94"/>
  <c r="AB35" i="94"/>
  <c r="X35" i="94"/>
  <c r="W35" i="94"/>
  <c r="S35" i="94"/>
  <c r="R35" i="94"/>
  <c r="N35" i="94"/>
  <c r="M35" i="94"/>
  <c r="I35" i="94"/>
  <c r="H35" i="94"/>
  <c r="D35" i="94"/>
  <c r="C35" i="94"/>
  <c r="AC34" i="94"/>
  <c r="AB34" i="94"/>
  <c r="X34" i="94"/>
  <c r="W34" i="94"/>
  <c r="S34" i="94"/>
  <c r="R34" i="94"/>
  <c r="N34" i="94"/>
  <c r="M34" i="94"/>
  <c r="I34" i="94"/>
  <c r="H34" i="94"/>
  <c r="D34" i="94"/>
  <c r="AC33" i="94"/>
  <c r="AB33" i="94"/>
  <c r="X33" i="94"/>
  <c r="W33" i="94"/>
  <c r="S33" i="94"/>
  <c r="R33" i="94"/>
  <c r="N33" i="94"/>
  <c r="M33" i="94"/>
  <c r="I33" i="94"/>
  <c r="H33" i="94"/>
  <c r="D33" i="94"/>
  <c r="AC32" i="94"/>
  <c r="AB32" i="94"/>
  <c r="X32" i="94"/>
  <c r="W32" i="94"/>
  <c r="S32" i="94"/>
  <c r="R32" i="94"/>
  <c r="N32" i="94"/>
  <c r="M32" i="94"/>
  <c r="I32" i="94"/>
  <c r="D32" i="94"/>
  <c r="AC31" i="94"/>
  <c r="AB31" i="94"/>
  <c r="X31" i="94"/>
  <c r="W31" i="94"/>
  <c r="S31" i="94"/>
  <c r="R31" i="94"/>
  <c r="N31" i="94"/>
  <c r="M31" i="94"/>
  <c r="I31" i="94"/>
  <c r="H31" i="94"/>
  <c r="D31" i="94"/>
  <c r="AC30" i="94"/>
  <c r="AB30" i="94"/>
  <c r="X30" i="94"/>
  <c r="S30" i="94"/>
  <c r="N30" i="94"/>
  <c r="M30" i="94"/>
  <c r="I30" i="94"/>
  <c r="D30" i="94"/>
  <c r="AC29" i="94"/>
  <c r="X29" i="94"/>
  <c r="S29" i="94"/>
  <c r="R29" i="94"/>
  <c r="N29" i="94"/>
  <c r="I29" i="94"/>
  <c r="D29" i="94"/>
  <c r="C29" i="94"/>
  <c r="AC28" i="94"/>
  <c r="AB28" i="94"/>
  <c r="X28" i="94"/>
  <c r="W28" i="94"/>
  <c r="S28" i="94"/>
  <c r="R28" i="94"/>
  <c r="N28" i="94"/>
  <c r="M28" i="94"/>
  <c r="I28" i="94"/>
  <c r="D28" i="94"/>
  <c r="AC27" i="94"/>
  <c r="AB27" i="94"/>
  <c r="X27" i="94"/>
  <c r="S27" i="94"/>
  <c r="R27" i="94"/>
  <c r="N27" i="94"/>
  <c r="M27" i="94"/>
  <c r="I27" i="94"/>
  <c r="D27" i="94"/>
  <c r="AC26" i="94"/>
  <c r="AB26" i="94"/>
  <c r="X26" i="94"/>
  <c r="W26" i="94"/>
  <c r="S26" i="94"/>
  <c r="R26" i="94"/>
  <c r="N26" i="94"/>
  <c r="M26" i="94"/>
  <c r="I26" i="94"/>
  <c r="H26" i="94"/>
  <c r="D26" i="94"/>
  <c r="AC25" i="94"/>
  <c r="AB25" i="94"/>
  <c r="X25" i="94"/>
  <c r="S25" i="94"/>
  <c r="R25" i="94"/>
  <c r="N25" i="94"/>
  <c r="M25" i="94"/>
  <c r="I25" i="94"/>
  <c r="H25" i="94"/>
  <c r="D25" i="94"/>
  <c r="AC24" i="94"/>
  <c r="AB24" i="94"/>
  <c r="X24" i="94"/>
  <c r="W24" i="94"/>
  <c r="S24" i="94"/>
  <c r="R24" i="94"/>
  <c r="N24" i="94"/>
  <c r="I24" i="94"/>
  <c r="H24" i="94"/>
  <c r="D24" i="94"/>
  <c r="C24" i="94"/>
  <c r="AC23" i="94"/>
  <c r="AB23" i="94"/>
  <c r="X23" i="94"/>
  <c r="S23" i="94"/>
  <c r="R23" i="94"/>
  <c r="N23" i="94"/>
  <c r="M23" i="94"/>
  <c r="I23" i="94"/>
  <c r="H23" i="94"/>
  <c r="D23" i="94"/>
  <c r="C23" i="94"/>
  <c r="AC22" i="94"/>
  <c r="AB22" i="94"/>
  <c r="X22" i="94"/>
  <c r="S22" i="94"/>
  <c r="R22" i="94"/>
  <c r="N22" i="94"/>
  <c r="M22" i="94"/>
  <c r="I22" i="94"/>
  <c r="D22" i="94"/>
  <c r="C22" i="94"/>
  <c r="AC21" i="94"/>
  <c r="AB21" i="94"/>
  <c r="X21" i="94"/>
  <c r="S21" i="94"/>
  <c r="R21" i="94"/>
  <c r="N21" i="94"/>
  <c r="M21" i="94"/>
  <c r="I21" i="94"/>
  <c r="D21" i="94"/>
  <c r="C21" i="94"/>
  <c r="AC20" i="94"/>
  <c r="AB20" i="94"/>
  <c r="X20" i="94"/>
  <c r="S20" i="94"/>
  <c r="R20" i="94"/>
  <c r="N20" i="94"/>
  <c r="M20" i="94"/>
  <c r="I20" i="94"/>
  <c r="D20" i="94"/>
  <c r="C20" i="94"/>
  <c r="AC19" i="94"/>
  <c r="AB19" i="94"/>
  <c r="X19" i="94"/>
  <c r="W19" i="94"/>
  <c r="S19" i="94"/>
  <c r="R19" i="94"/>
  <c r="N19" i="94"/>
  <c r="M19" i="94"/>
  <c r="I19" i="94"/>
  <c r="D19" i="94"/>
  <c r="AC18" i="94"/>
  <c r="AB18" i="94"/>
  <c r="X18" i="94"/>
  <c r="W18" i="94"/>
  <c r="S18" i="94"/>
  <c r="R18" i="94"/>
  <c r="N18" i="94"/>
  <c r="M18" i="94"/>
  <c r="I18" i="94"/>
  <c r="D18" i="94"/>
  <c r="AC17" i="94"/>
  <c r="AB17" i="94"/>
  <c r="X17" i="94"/>
  <c r="S17" i="94"/>
  <c r="R17" i="94"/>
  <c r="N17" i="94"/>
  <c r="M17" i="94"/>
  <c r="I17" i="94"/>
  <c r="D17" i="94"/>
  <c r="AC16" i="94"/>
  <c r="AB16" i="94"/>
  <c r="X16" i="94"/>
  <c r="S16" i="94"/>
  <c r="N16" i="94"/>
  <c r="M16" i="94"/>
  <c r="I16" i="94"/>
  <c r="D16" i="94"/>
  <c r="AC15" i="94"/>
  <c r="AB15" i="94"/>
  <c r="X15" i="94"/>
  <c r="S15" i="94"/>
  <c r="N15" i="94"/>
  <c r="M15" i="94"/>
  <c r="I15" i="94"/>
  <c r="H15" i="94"/>
  <c r="D15" i="94"/>
  <c r="C15" i="94"/>
  <c r="AC14" i="94"/>
  <c r="AB14" i="94"/>
  <c r="X14" i="94"/>
  <c r="S14" i="94"/>
  <c r="N14" i="94"/>
  <c r="M14" i="94"/>
  <c r="I14" i="94"/>
  <c r="H14" i="94"/>
  <c r="D14" i="94"/>
  <c r="AC13" i="94"/>
  <c r="AB13" i="94"/>
  <c r="X13" i="94"/>
  <c r="S13" i="94"/>
  <c r="N13" i="94"/>
  <c r="M13" i="94"/>
  <c r="I13" i="94"/>
  <c r="D13" i="94"/>
  <c r="AC12" i="94"/>
  <c r="AB12" i="94"/>
  <c r="X12" i="94"/>
  <c r="S12" i="94"/>
  <c r="N12" i="94"/>
  <c r="M12" i="94"/>
  <c r="I12" i="94"/>
  <c r="D12" i="94"/>
  <c r="AC11" i="94"/>
  <c r="AB11" i="94"/>
  <c r="X11" i="94"/>
  <c r="S11" i="94"/>
  <c r="N11" i="94"/>
  <c r="M11" i="94"/>
  <c r="I11" i="94"/>
  <c r="H11" i="94"/>
  <c r="D11" i="94"/>
  <c r="AC10" i="94"/>
  <c r="AB10" i="94"/>
  <c r="X10" i="94"/>
  <c r="S10" i="94"/>
  <c r="N10" i="94"/>
  <c r="M10" i="94"/>
  <c r="I10" i="94"/>
  <c r="H10" i="94"/>
  <c r="D10" i="94"/>
  <c r="AC9" i="94"/>
  <c r="AB9" i="94"/>
  <c r="X9" i="94"/>
  <c r="S9" i="94"/>
  <c r="N9" i="94"/>
  <c r="M9" i="94"/>
  <c r="I9" i="94"/>
  <c r="H9" i="94"/>
  <c r="D9" i="94"/>
  <c r="AC8" i="94"/>
  <c r="AB8" i="94"/>
  <c r="X8" i="94"/>
  <c r="S8" i="94"/>
  <c r="N8" i="94"/>
  <c r="M8" i="94"/>
  <c r="I8" i="94"/>
  <c r="H8" i="94"/>
  <c r="D8" i="94"/>
  <c r="AC7" i="94"/>
  <c r="AB7" i="94"/>
  <c r="X7" i="94"/>
  <c r="S7" i="94"/>
  <c r="N7" i="94"/>
  <c r="M7" i="94"/>
  <c r="I7" i="94"/>
  <c r="H7" i="94"/>
  <c r="D7" i="94"/>
  <c r="AC6" i="94"/>
  <c r="AB6" i="94"/>
  <c r="X6" i="94"/>
  <c r="W6" i="94"/>
  <c r="S6" i="94"/>
  <c r="R6" i="94"/>
  <c r="N6" i="94"/>
  <c r="M6" i="94"/>
  <c r="I6" i="94"/>
  <c r="H6" i="94"/>
  <c r="D6" i="94"/>
  <c r="W42" i="94" l="1"/>
  <c r="C42" i="94"/>
  <c r="M42" i="94"/>
  <c r="D42" i="94"/>
  <c r="N42" i="94"/>
  <c r="X42" i="94"/>
  <c r="H42" i="94"/>
  <c r="R42" i="94"/>
  <c r="AB42" i="94"/>
  <c r="I42" i="94"/>
  <c r="S42" i="94"/>
  <c r="AC42" i="94"/>
  <c r="E2" i="93"/>
  <c r="F32" i="4"/>
  <c r="F21" i="20"/>
  <c r="A24" i="26" l="1"/>
  <c r="A17" i="26"/>
  <c r="A19" i="36" l="1"/>
  <c r="A16" i="69" l="1"/>
  <c r="A13" i="44" l="1"/>
  <c r="A21" i="73" l="1"/>
  <c r="A16" i="73"/>
  <c r="A18" i="47" l="1"/>
  <c r="A52" i="45" l="1"/>
  <c r="Q44" i="45"/>
  <c r="I16" i="45"/>
  <c r="A14" i="67" l="1"/>
  <c r="A37" i="42" l="1"/>
  <c r="P33" i="42"/>
  <c r="A25" i="42"/>
  <c r="A24" i="8" l="1"/>
  <c r="G19" i="8"/>
  <c r="A54" i="15" l="1"/>
  <c r="A22" i="15"/>
  <c r="A21" i="17" l="1"/>
  <c r="A15" i="17"/>
  <c r="A27" i="35" l="1"/>
  <c r="A33" i="18" l="1"/>
  <c r="A29" i="18"/>
  <c r="F29" i="18"/>
  <c r="P34" i="20" l="1"/>
  <c r="P15" i="20"/>
  <c r="A24" i="21" l="1"/>
  <c r="A18" i="21"/>
  <c r="A35" i="22" l="1"/>
  <c r="G27" i="22"/>
  <c r="F27" i="22"/>
  <c r="A27" i="22"/>
  <c r="A19" i="23" l="1"/>
  <c r="A15" i="23"/>
  <c r="C18" i="89" s="1"/>
  <c r="A32" i="24" l="1"/>
  <c r="A17" i="24"/>
  <c r="A24" i="4" l="1"/>
  <c r="A19" i="25" l="1"/>
  <c r="A15" i="25"/>
  <c r="G15" i="25"/>
  <c r="F21" i="14" l="1"/>
  <c r="A21" i="14"/>
  <c r="A15" i="14"/>
  <c r="F15" i="14"/>
  <c r="A24" i="9" l="1"/>
  <c r="F24" i="9"/>
  <c r="F18" i="9"/>
  <c r="A18" i="9"/>
  <c r="A17" i="5" l="1"/>
  <c r="F17" i="5"/>
  <c r="F13" i="5"/>
  <c r="A13" i="5"/>
  <c r="F16" i="19" l="1"/>
  <c r="A16" i="19"/>
  <c r="I18" i="19" l="1"/>
  <c r="I14" i="19"/>
  <c r="K17" i="5" l="1"/>
  <c r="J18" i="19"/>
  <c r="J21" i="19" s="1"/>
  <c r="M20" i="81" s="1"/>
  <c r="G6" i="85" s="1"/>
  <c r="K18" i="19"/>
  <c r="K21" i="19" s="1"/>
  <c r="Q20" i="81" s="1"/>
  <c r="G8" i="85" s="1"/>
  <c r="L18" i="19"/>
  <c r="L21" i="19" s="1"/>
  <c r="J16" i="19"/>
  <c r="E20" i="81" s="1"/>
  <c r="K16" i="19"/>
  <c r="L16" i="19"/>
  <c r="O2" i="87"/>
  <c r="O2" i="70"/>
  <c r="R2" i="19"/>
  <c r="F13" i="71"/>
  <c r="F18" i="71" s="1"/>
  <c r="F24" i="26"/>
  <c r="F45" i="89" s="1"/>
  <c r="F17" i="26"/>
  <c r="F19" i="36"/>
  <c r="F24" i="36" s="1"/>
  <c r="F14" i="48"/>
  <c r="F16" i="73"/>
  <c r="D37" i="89" s="1"/>
  <c r="F21" i="73"/>
  <c r="F37" i="89" s="1"/>
  <c r="F14" i="83"/>
  <c r="D36" i="89" s="1"/>
  <c r="F18" i="47"/>
  <c r="F13" i="47"/>
  <c r="F52" i="45"/>
  <c r="F42" i="45"/>
  <c r="D34" i="89" s="1"/>
  <c r="F14" i="67"/>
  <c r="F18" i="7"/>
  <c r="F19" i="7" s="1"/>
  <c r="F14" i="7"/>
  <c r="F14" i="43"/>
  <c r="F37" i="42"/>
  <c r="F25" i="42"/>
  <c r="F19" i="8"/>
  <c r="F24" i="8"/>
  <c r="F18" i="11"/>
  <c r="F13" i="11"/>
  <c r="D28" i="89" s="1"/>
  <c r="F54" i="15"/>
  <c r="F26" i="89" s="1"/>
  <c r="F22" i="15"/>
  <c r="F33" i="16"/>
  <c r="P33" i="16" s="1"/>
  <c r="K35" i="81" s="1"/>
  <c r="F15" i="17"/>
  <c r="P15" i="17" s="1"/>
  <c r="C34" i="81" s="1"/>
  <c r="F21" i="17"/>
  <c r="F27" i="35"/>
  <c r="D23" i="89" s="1"/>
  <c r="F33" i="18"/>
  <c r="F34" i="18" s="1"/>
  <c r="F38" i="20"/>
  <c r="F21" i="89" s="1"/>
  <c r="D21" i="89"/>
  <c r="F24" i="21"/>
  <c r="F18" i="21"/>
  <c r="F35" i="22"/>
  <c r="F36" i="22" s="1"/>
  <c r="F19" i="23"/>
  <c r="F18" i="89" s="1"/>
  <c r="F32" i="24"/>
  <c r="F17" i="24"/>
  <c r="F33" i="24" s="1"/>
  <c r="F24" i="4"/>
  <c r="D16" i="89" s="1"/>
  <c r="F15" i="25"/>
  <c r="F19" i="25"/>
  <c r="H16" i="19"/>
  <c r="H21" i="19"/>
  <c r="D14" i="89"/>
  <c r="F25" i="9"/>
  <c r="U3" i="45"/>
  <c r="U2" i="45"/>
  <c r="S4" i="45"/>
  <c r="S3" i="45"/>
  <c r="S2" i="45"/>
  <c r="C34" i="89"/>
  <c r="R3" i="7"/>
  <c r="R2" i="7"/>
  <c r="R2" i="43"/>
  <c r="T3" i="42"/>
  <c r="R2" i="42"/>
  <c r="C30" i="89"/>
  <c r="T3" i="8"/>
  <c r="R2" i="8"/>
  <c r="D39" i="81"/>
  <c r="T3" i="11"/>
  <c r="R3" i="11"/>
  <c r="R2" i="11"/>
  <c r="T3" i="15"/>
  <c r="T2" i="15"/>
  <c r="R3" i="15"/>
  <c r="R2" i="15"/>
  <c r="T3" i="16"/>
  <c r="C24" i="89"/>
  <c r="R2" i="17"/>
  <c r="R3" i="17"/>
  <c r="R3" i="35"/>
  <c r="R2" i="35"/>
  <c r="R3" i="18"/>
  <c r="R2" i="18"/>
  <c r="L31" i="81"/>
  <c r="U4" i="45"/>
  <c r="R3" i="20"/>
  <c r="T2" i="20"/>
  <c r="T3" i="20"/>
  <c r="R2" i="20"/>
  <c r="T3" i="21"/>
  <c r="T3" i="22"/>
  <c r="R3" i="23"/>
  <c r="T3" i="24"/>
  <c r="R3" i="24"/>
  <c r="T3" i="25"/>
  <c r="T3" i="9"/>
  <c r="A25" i="9"/>
  <c r="R2" i="9"/>
  <c r="R3" i="19"/>
  <c r="T3" i="47"/>
  <c r="R2" i="67"/>
  <c r="Q2" i="71"/>
  <c r="T3" i="26"/>
  <c r="T2" i="26"/>
  <c r="R3" i="26"/>
  <c r="R2" i="26"/>
  <c r="R3" i="36"/>
  <c r="R2" i="36"/>
  <c r="Q2" i="69"/>
  <c r="Q2" i="48"/>
  <c r="R2" i="44"/>
  <c r="Q2" i="62"/>
  <c r="T3" i="73"/>
  <c r="R2" i="73"/>
  <c r="R3" i="73"/>
  <c r="Q2" i="83"/>
  <c r="T2" i="47"/>
  <c r="R2" i="47"/>
  <c r="R3" i="67"/>
  <c r="T3" i="7"/>
  <c r="T3" i="43"/>
  <c r="R3" i="43"/>
  <c r="R3" i="42"/>
  <c r="R3" i="8"/>
  <c r="T3" i="88"/>
  <c r="T3" i="17"/>
  <c r="R4" i="35"/>
  <c r="T3" i="18"/>
  <c r="R2" i="21"/>
  <c r="R3" i="21"/>
  <c r="R2" i="22"/>
  <c r="T3" i="23"/>
  <c r="T2" i="24"/>
  <c r="R2" i="24"/>
  <c r="T3" i="4"/>
  <c r="R2" i="4"/>
  <c r="R3" i="4"/>
  <c r="R2" i="25"/>
  <c r="T3" i="14"/>
  <c r="R2" i="14"/>
  <c r="T3" i="5"/>
  <c r="R2" i="5"/>
  <c r="T3" i="19"/>
  <c r="F31" i="91"/>
  <c r="A31" i="91"/>
  <c r="A29" i="91"/>
  <c r="A27" i="91" s="1"/>
  <c r="F27" i="91"/>
  <c r="F26" i="91" s="1"/>
  <c r="A22" i="91"/>
  <c r="F22" i="91"/>
  <c r="F7" i="91"/>
  <c r="F17" i="91"/>
  <c r="A17" i="91"/>
  <c r="F13" i="91"/>
  <c r="A13" i="91"/>
  <c r="A11" i="91"/>
  <c r="A9" i="91"/>
  <c r="F9" i="91"/>
  <c r="D12" i="81"/>
  <c r="C19" i="89"/>
  <c r="D28" i="81"/>
  <c r="D23" i="81"/>
  <c r="E45" i="89"/>
  <c r="D41" i="89"/>
  <c r="A16" i="80"/>
  <c r="L27" i="81"/>
  <c r="E26" i="89"/>
  <c r="D38" i="81"/>
  <c r="F21" i="80"/>
  <c r="A13" i="71"/>
  <c r="A18" i="71" s="1"/>
  <c r="C16" i="89"/>
  <c r="E15" i="89"/>
  <c r="D13" i="89"/>
  <c r="F12" i="89"/>
  <c r="F21" i="19"/>
  <c r="P21" i="19" s="1"/>
  <c r="K20" i="81" s="1"/>
  <c r="A21" i="80"/>
  <c r="F16" i="80"/>
  <c r="D10" i="89"/>
  <c r="C42" i="89"/>
  <c r="C43" i="89"/>
  <c r="F16" i="69"/>
  <c r="D42" i="89" s="1"/>
  <c r="F13" i="44"/>
  <c r="D39" i="89" s="1"/>
  <c r="A13" i="47"/>
  <c r="A19" i="47" s="1"/>
  <c r="D29" i="89"/>
  <c r="D29" i="81"/>
  <c r="E16" i="89"/>
  <c r="A22" i="19"/>
  <c r="L23" i="81"/>
  <c r="T23" i="81" s="1"/>
  <c r="C13" i="82" s="1"/>
  <c r="E21" i="89"/>
  <c r="F24" i="89"/>
  <c r="G18" i="11"/>
  <c r="H18" i="11"/>
  <c r="H19" i="11" s="1"/>
  <c r="E30" i="89"/>
  <c r="G18" i="43"/>
  <c r="H18" i="43"/>
  <c r="F18" i="43"/>
  <c r="F31" i="89" s="1"/>
  <c r="A18" i="43"/>
  <c r="E31" i="89" s="1"/>
  <c r="D41" i="81"/>
  <c r="D42" i="81"/>
  <c r="E34" i="89"/>
  <c r="A13" i="62"/>
  <c r="C38" i="89" s="1"/>
  <c r="F13" i="62"/>
  <c r="G14" i="83"/>
  <c r="G19" i="83" s="1"/>
  <c r="H14" i="83"/>
  <c r="H21" i="80"/>
  <c r="H15" i="14"/>
  <c r="H24" i="4"/>
  <c r="H27" i="22"/>
  <c r="H17" i="71"/>
  <c r="H18" i="71" s="1"/>
  <c r="H13" i="71"/>
  <c r="H24" i="26"/>
  <c r="H17" i="26"/>
  <c r="H17" i="87"/>
  <c r="H13" i="87"/>
  <c r="H18" i="87" s="1"/>
  <c r="H23" i="36"/>
  <c r="H19" i="36"/>
  <c r="H24" i="36" s="1"/>
  <c r="H20" i="69"/>
  <c r="H16" i="69"/>
  <c r="H18" i="48"/>
  <c r="H14" i="48"/>
  <c r="H17" i="70"/>
  <c r="H18" i="70"/>
  <c r="H13" i="70"/>
  <c r="H17" i="44"/>
  <c r="H13" i="44"/>
  <c r="H17" i="62"/>
  <c r="H18" i="62"/>
  <c r="H13" i="62"/>
  <c r="H21" i="73"/>
  <c r="H16" i="73"/>
  <c r="H18" i="83"/>
  <c r="H18" i="47"/>
  <c r="H13" i="47"/>
  <c r="H52" i="45"/>
  <c r="H42" i="45"/>
  <c r="H18" i="67"/>
  <c r="H14" i="67"/>
  <c r="H19" i="67" s="1"/>
  <c r="H18" i="7"/>
  <c r="H14" i="7"/>
  <c r="H14" i="43"/>
  <c r="H19" i="43" s="1"/>
  <c r="H37" i="42"/>
  <c r="H25" i="42"/>
  <c r="H38" i="42" s="1"/>
  <c r="H24" i="8"/>
  <c r="H19" i="8"/>
  <c r="H13" i="11"/>
  <c r="H17" i="88"/>
  <c r="H13" i="88"/>
  <c r="H18" i="88" s="1"/>
  <c r="H54" i="15"/>
  <c r="H22" i="15"/>
  <c r="H33" i="16"/>
  <c r="H22" i="16"/>
  <c r="H34" i="16" s="1"/>
  <c r="H21" i="17"/>
  <c r="H15" i="17"/>
  <c r="H42" i="35"/>
  <c r="H27" i="35"/>
  <c r="H16" i="77"/>
  <c r="H15" i="77"/>
  <c r="H12" i="77"/>
  <c r="H38" i="20"/>
  <c r="H21" i="20"/>
  <c r="H24" i="21"/>
  <c r="H18" i="21"/>
  <c r="H25" i="21" s="1"/>
  <c r="H35" i="22"/>
  <c r="H19" i="23"/>
  <c r="H20" i="23" s="1"/>
  <c r="H15" i="23"/>
  <c r="H32" i="24"/>
  <c r="H17" i="24"/>
  <c r="H32" i="4"/>
  <c r="H33" i="4" s="1"/>
  <c r="H19" i="25"/>
  <c r="H15" i="25"/>
  <c r="H21" i="14"/>
  <c r="H22" i="14" s="1"/>
  <c r="H24" i="9"/>
  <c r="H18" i="9"/>
  <c r="H17" i="5"/>
  <c r="H18" i="5" s="1"/>
  <c r="H13" i="5"/>
  <c r="H16" i="80"/>
  <c r="H22" i="80"/>
  <c r="L29" i="81"/>
  <c r="E20" i="89"/>
  <c r="D27" i="81"/>
  <c r="C15" i="89"/>
  <c r="C13" i="89"/>
  <c r="G22" i="16"/>
  <c r="A22" i="16"/>
  <c r="A34" i="16" s="1"/>
  <c r="D20" i="89"/>
  <c r="F13" i="70"/>
  <c r="D40" i="89"/>
  <c r="F34" i="89"/>
  <c r="D32" i="89"/>
  <c r="D30" i="89"/>
  <c r="F13" i="88"/>
  <c r="D27" i="89"/>
  <c r="F25" i="89"/>
  <c r="F22" i="16"/>
  <c r="D25" i="89" s="1"/>
  <c r="F20" i="89"/>
  <c r="F15" i="23"/>
  <c r="F17" i="89"/>
  <c r="A13" i="88"/>
  <c r="D38" i="89"/>
  <c r="C46" i="89"/>
  <c r="A15" i="77"/>
  <c r="G33" i="18"/>
  <c r="P33" i="18" s="1"/>
  <c r="K31" i="81" s="1"/>
  <c r="A12" i="77"/>
  <c r="A16" i="77"/>
  <c r="A13" i="87"/>
  <c r="A14" i="83"/>
  <c r="G14" i="43"/>
  <c r="G19" i="43" s="1"/>
  <c r="E25" i="89"/>
  <c r="G15" i="17"/>
  <c r="F15" i="77"/>
  <c r="F12" i="77"/>
  <c r="F16" i="77" s="1"/>
  <c r="E12" i="89"/>
  <c r="G13" i="88"/>
  <c r="A18" i="48"/>
  <c r="A14" i="48"/>
  <c r="C41" i="89" s="1"/>
  <c r="A17" i="70"/>
  <c r="A13" i="70"/>
  <c r="A42" i="35"/>
  <c r="L33" i="81" s="1"/>
  <c r="E37" i="89"/>
  <c r="C37" i="89"/>
  <c r="G16" i="73"/>
  <c r="G22" i="73" s="1"/>
  <c r="G21" i="14"/>
  <c r="P15" i="25"/>
  <c r="C24" i="81" s="1"/>
  <c r="G52" i="45"/>
  <c r="G42" i="45"/>
  <c r="G17" i="44"/>
  <c r="G18" i="44" s="1"/>
  <c r="G13" i="62"/>
  <c r="G13" i="47"/>
  <c r="G18" i="67"/>
  <c r="G19" i="67" s="1"/>
  <c r="A18" i="67"/>
  <c r="L12" i="81" s="1"/>
  <c r="G14" i="67"/>
  <c r="G19" i="25"/>
  <c r="G20" i="25" s="1"/>
  <c r="A18" i="7"/>
  <c r="E32" i="89" s="1"/>
  <c r="G15" i="14"/>
  <c r="G24" i="21"/>
  <c r="G21" i="73"/>
  <c r="G15" i="23"/>
  <c r="J15" i="23"/>
  <c r="K15" i="23"/>
  <c r="I27" i="81" s="1"/>
  <c r="E43" i="85" s="1"/>
  <c r="L15" i="23"/>
  <c r="G32" i="24"/>
  <c r="A24" i="36"/>
  <c r="G14" i="48"/>
  <c r="O14" i="48" s="1"/>
  <c r="C6" i="81" s="1"/>
  <c r="A11" i="82"/>
  <c r="A12" i="82"/>
  <c r="A13" i="82" s="1"/>
  <c r="A14" i="82"/>
  <c r="A15" i="82" s="1"/>
  <c r="A16" i="82" s="1"/>
  <c r="A17" i="82" s="1"/>
  <c r="A18" i="82" s="1"/>
  <c r="A19" i="82" s="1"/>
  <c r="A20" i="82" s="1"/>
  <c r="A21" i="82" s="1"/>
  <c r="A22" i="82" s="1"/>
  <c r="A23" i="82" s="1"/>
  <c r="A24" i="82" s="1"/>
  <c r="A25" i="82" s="1"/>
  <c r="A26" i="82" s="1"/>
  <c r="A27" i="82" s="1"/>
  <c r="A28" i="82" s="1"/>
  <c r="A29" i="82" s="1"/>
  <c r="A30" i="82" s="1"/>
  <c r="A31" i="82" s="1"/>
  <c r="A32" i="82" s="1"/>
  <c r="A33" i="82" s="1"/>
  <c r="A34" i="82" s="1"/>
  <c r="A35" i="82" s="1"/>
  <c r="A36" i="82" s="1"/>
  <c r="A37" i="82" s="1"/>
  <c r="A38" i="82" s="1"/>
  <c r="A39" i="82" s="1"/>
  <c r="A40" i="82" s="1"/>
  <c r="A41" i="82" s="1"/>
  <c r="A42" i="82" s="1"/>
  <c r="A43" i="82" s="1"/>
  <c r="A44" i="82" s="1"/>
  <c r="A21" i="69"/>
  <c r="G18" i="7"/>
  <c r="P18" i="7" s="1"/>
  <c r="J18" i="7"/>
  <c r="M42" i="81" s="1"/>
  <c r="G116" i="85" s="1"/>
  <c r="K18" i="7"/>
  <c r="Q42" i="81" s="1"/>
  <c r="G118" i="85" s="1"/>
  <c r="L18" i="7"/>
  <c r="G14" i="7"/>
  <c r="P14" i="7" s="1"/>
  <c r="C42" i="81" s="1"/>
  <c r="J14" i="7"/>
  <c r="K14" i="7"/>
  <c r="L14" i="7"/>
  <c r="L19" i="7" s="1"/>
  <c r="J18" i="43"/>
  <c r="M41" i="81" s="1"/>
  <c r="G121" i="85" s="1"/>
  <c r="K18" i="43"/>
  <c r="Q41" i="81"/>
  <c r="G123" i="85" s="1"/>
  <c r="L18" i="43"/>
  <c r="J14" i="43"/>
  <c r="E41" i="81" s="1"/>
  <c r="K14" i="43"/>
  <c r="I41" i="81" s="1"/>
  <c r="Y41" i="81" s="1"/>
  <c r="L14" i="43"/>
  <c r="L19" i="43" s="1"/>
  <c r="G37" i="42"/>
  <c r="J37" i="42"/>
  <c r="M40" i="81" s="1"/>
  <c r="K37" i="42"/>
  <c r="Q40" i="81" s="1"/>
  <c r="G113" i="85" s="1"/>
  <c r="L37" i="42"/>
  <c r="G25" i="42"/>
  <c r="G38" i="42" s="1"/>
  <c r="J25" i="42"/>
  <c r="K25" i="42"/>
  <c r="I40" i="81" s="1"/>
  <c r="L25" i="42"/>
  <c r="G24" i="8"/>
  <c r="G25" i="8" s="1"/>
  <c r="J24" i="8"/>
  <c r="M39" i="81" s="1"/>
  <c r="G106" i="85" s="1"/>
  <c r="K24" i="8"/>
  <c r="Q39" i="81" s="1"/>
  <c r="G108" i="85" s="1"/>
  <c r="L24" i="8"/>
  <c r="J19" i="8"/>
  <c r="E39" i="81" s="1"/>
  <c r="E106" i="85" s="1"/>
  <c r="K19" i="8"/>
  <c r="I39" i="81" s="1"/>
  <c r="L19" i="8"/>
  <c r="J18" i="11"/>
  <c r="M38" i="81" s="1"/>
  <c r="K18" i="11"/>
  <c r="Q38" i="81" s="1"/>
  <c r="G103" i="85" s="1"/>
  <c r="L18" i="11"/>
  <c r="G13" i="11"/>
  <c r="J13" i="11"/>
  <c r="E38" i="81" s="1"/>
  <c r="E101" i="85" s="1"/>
  <c r="K13" i="11"/>
  <c r="L13" i="11"/>
  <c r="G54" i="15"/>
  <c r="P54" i="15" s="1"/>
  <c r="K36" i="81" s="1"/>
  <c r="J54" i="15"/>
  <c r="M36" i="81" s="1"/>
  <c r="K54" i="15"/>
  <c r="Q36" i="81" s="1"/>
  <c r="L54" i="15"/>
  <c r="G22" i="15"/>
  <c r="G55" i="15" s="1"/>
  <c r="J22" i="15"/>
  <c r="K22" i="15"/>
  <c r="I36" i="81" s="1"/>
  <c r="E88" i="85" s="1"/>
  <c r="L22" i="15"/>
  <c r="L55" i="15" s="1"/>
  <c r="G33" i="16"/>
  <c r="J33" i="16"/>
  <c r="M35" i="81" s="1"/>
  <c r="K33" i="16"/>
  <c r="L33" i="16"/>
  <c r="J22" i="16"/>
  <c r="E35" i="81"/>
  <c r="E81" i="85" s="1"/>
  <c r="K22" i="16"/>
  <c r="I35" i="81" s="1"/>
  <c r="E83" i="85" s="1"/>
  <c r="L22" i="16"/>
  <c r="G27" i="35"/>
  <c r="P53" i="35" s="1"/>
  <c r="J53" i="35"/>
  <c r="E33" i="81" s="1"/>
  <c r="K53" i="35"/>
  <c r="I33" i="81" s="1"/>
  <c r="L53" i="35"/>
  <c r="G29" i="18"/>
  <c r="P29" i="18" s="1"/>
  <c r="J29" i="18"/>
  <c r="K29" i="18"/>
  <c r="I31" i="81" s="1"/>
  <c r="E63" i="85" s="1"/>
  <c r="L29" i="18"/>
  <c r="J33" i="18"/>
  <c r="M31" i="81" s="1"/>
  <c r="G61" i="85" s="1"/>
  <c r="K33" i="18"/>
  <c r="Q31" i="81" s="1"/>
  <c r="L33" i="18"/>
  <c r="J15" i="25"/>
  <c r="J20" i="25" s="1"/>
  <c r="K15" i="25"/>
  <c r="I24" i="81" s="1"/>
  <c r="L15" i="25"/>
  <c r="R42" i="81"/>
  <c r="N42" i="81"/>
  <c r="J42" i="81"/>
  <c r="F42" i="81"/>
  <c r="R41" i="81"/>
  <c r="N41" i="81"/>
  <c r="J41" i="81"/>
  <c r="Z41" i="81" s="1"/>
  <c r="F41" i="81"/>
  <c r="R40" i="81"/>
  <c r="Z40" i="81" s="1"/>
  <c r="N40" i="81"/>
  <c r="J40" i="81"/>
  <c r="F40" i="81"/>
  <c r="R39" i="81"/>
  <c r="N39" i="81"/>
  <c r="J39" i="81"/>
  <c r="F39" i="81"/>
  <c r="R38" i="81"/>
  <c r="N38" i="81"/>
  <c r="J38" i="81"/>
  <c r="F38" i="81"/>
  <c r="V38" i="81" s="1"/>
  <c r="R37" i="81"/>
  <c r="N37" i="81"/>
  <c r="L37" i="81"/>
  <c r="P37" i="81" s="1"/>
  <c r="J37" i="81"/>
  <c r="F37" i="81"/>
  <c r="R36" i="81"/>
  <c r="N36" i="81"/>
  <c r="J36" i="81"/>
  <c r="F36" i="81"/>
  <c r="R35" i="81"/>
  <c r="N35" i="81"/>
  <c r="J35" i="81"/>
  <c r="Z35" i="81" s="1"/>
  <c r="F35" i="81"/>
  <c r="R34" i="81"/>
  <c r="N34" i="81"/>
  <c r="V34" i="81" s="1"/>
  <c r="L34" i="81"/>
  <c r="J34" i="81"/>
  <c r="Z34" i="81" s="1"/>
  <c r="F34" i="81"/>
  <c r="R33" i="81"/>
  <c r="N33" i="81"/>
  <c r="J33" i="81"/>
  <c r="F33" i="81"/>
  <c r="V33" i="81" s="1"/>
  <c r="R32" i="81"/>
  <c r="N32" i="81"/>
  <c r="L32" i="81"/>
  <c r="P32" i="81" s="1"/>
  <c r="J32" i="81"/>
  <c r="Z32" i="81"/>
  <c r="F32" i="81"/>
  <c r="V32" i="81" s="1"/>
  <c r="R31" i="81"/>
  <c r="N31" i="81"/>
  <c r="J31" i="81"/>
  <c r="F31" i="81"/>
  <c r="R30" i="81"/>
  <c r="N30" i="81"/>
  <c r="J30" i="81"/>
  <c r="F30" i="81"/>
  <c r="R29" i="81"/>
  <c r="N29" i="81"/>
  <c r="J29" i="81"/>
  <c r="F29" i="81"/>
  <c r="N28" i="81"/>
  <c r="R28" i="81"/>
  <c r="J28" i="81"/>
  <c r="F28" i="81"/>
  <c r="R27" i="81"/>
  <c r="N27" i="81"/>
  <c r="J27" i="81"/>
  <c r="F27" i="81"/>
  <c r="R26" i="81"/>
  <c r="N26" i="81"/>
  <c r="J26" i="81"/>
  <c r="F26" i="81"/>
  <c r="R25" i="81"/>
  <c r="N25" i="81"/>
  <c r="J25" i="81"/>
  <c r="F25" i="81"/>
  <c r="R24" i="81"/>
  <c r="N24" i="81"/>
  <c r="J24" i="81"/>
  <c r="Z24" i="81" s="1"/>
  <c r="F24" i="81"/>
  <c r="R23" i="81"/>
  <c r="N23" i="81"/>
  <c r="J23" i="81"/>
  <c r="Z23" i="81" s="1"/>
  <c r="F23" i="81"/>
  <c r="R22" i="81"/>
  <c r="N22" i="81"/>
  <c r="J22" i="81"/>
  <c r="F22" i="81"/>
  <c r="R21" i="81"/>
  <c r="N21" i="81"/>
  <c r="J21" i="81"/>
  <c r="F21" i="81"/>
  <c r="R20" i="81"/>
  <c r="N20" i="81"/>
  <c r="J20" i="81"/>
  <c r="F20" i="81"/>
  <c r="R19" i="81"/>
  <c r="N19" i="81"/>
  <c r="P19" i="81" s="1"/>
  <c r="L19" i="81"/>
  <c r="J19" i="81"/>
  <c r="Z19" i="81"/>
  <c r="F19" i="81"/>
  <c r="R18" i="81"/>
  <c r="N18" i="81"/>
  <c r="J18" i="81"/>
  <c r="Z18" i="81" s="1"/>
  <c r="F18" i="81"/>
  <c r="R17" i="81"/>
  <c r="N17" i="81"/>
  <c r="V17" i="81" s="1"/>
  <c r="L17" i="81"/>
  <c r="J17" i="81"/>
  <c r="F17" i="81"/>
  <c r="R16" i="81"/>
  <c r="N16" i="81"/>
  <c r="J16" i="81"/>
  <c r="F16" i="81"/>
  <c r="D16" i="81"/>
  <c r="H16" i="81" s="1"/>
  <c r="R15" i="81"/>
  <c r="N15" i="81"/>
  <c r="L15" i="81"/>
  <c r="J15" i="81"/>
  <c r="F15" i="81"/>
  <c r="V15" i="81" s="1"/>
  <c r="R14" i="81"/>
  <c r="N14" i="81"/>
  <c r="J14" i="81"/>
  <c r="Z14" i="81" s="1"/>
  <c r="F14" i="81"/>
  <c r="R13" i="81"/>
  <c r="N13" i="81"/>
  <c r="J13" i="81"/>
  <c r="F13" i="81"/>
  <c r="V13" i="81" s="1"/>
  <c r="R12" i="81"/>
  <c r="N12" i="81"/>
  <c r="J12" i="81"/>
  <c r="Z12" i="81" s="1"/>
  <c r="F12" i="81"/>
  <c r="R11" i="81"/>
  <c r="N11" i="81"/>
  <c r="L11" i="81"/>
  <c r="P11" i="81" s="1"/>
  <c r="J11" i="81"/>
  <c r="Z11" i="81" s="1"/>
  <c r="F11" i="81"/>
  <c r="R10" i="81"/>
  <c r="N10" i="81"/>
  <c r="J10" i="81"/>
  <c r="F10" i="81"/>
  <c r="R9" i="81"/>
  <c r="N9" i="81"/>
  <c r="L9" i="81"/>
  <c r="P9" i="81" s="1"/>
  <c r="J9" i="81"/>
  <c r="F9" i="81"/>
  <c r="D9" i="81"/>
  <c r="H9" i="81" s="1"/>
  <c r="R8" i="81"/>
  <c r="N8" i="81"/>
  <c r="L8" i="81"/>
  <c r="P8" i="81" s="1"/>
  <c r="J8" i="81"/>
  <c r="Z8" i="81" s="1"/>
  <c r="F8" i="81"/>
  <c r="R7" i="81"/>
  <c r="N7" i="81"/>
  <c r="L7" i="81"/>
  <c r="J7" i="81"/>
  <c r="F7" i="81"/>
  <c r="D7" i="81"/>
  <c r="T7" i="81" s="1"/>
  <c r="C41" i="82" s="1"/>
  <c r="R6" i="81"/>
  <c r="N6" i="81"/>
  <c r="L6" i="81"/>
  <c r="J6" i="81"/>
  <c r="Z6" i="81" s="1"/>
  <c r="F6" i="81"/>
  <c r="V6" i="81"/>
  <c r="R5" i="81"/>
  <c r="N5" i="81"/>
  <c r="J5" i="81"/>
  <c r="F5" i="81"/>
  <c r="L17" i="88"/>
  <c r="K17" i="88"/>
  <c r="Q37" i="81"/>
  <c r="J17" i="88"/>
  <c r="M37" i="81"/>
  <c r="G17" i="88"/>
  <c r="G18" i="88"/>
  <c r="F17" i="88"/>
  <c r="L13" i="88"/>
  <c r="L18" i="88" s="1"/>
  <c r="K13" i="88"/>
  <c r="I37" i="81"/>
  <c r="J13" i="88"/>
  <c r="J18" i="88" s="1"/>
  <c r="L17" i="87"/>
  <c r="K17" i="87"/>
  <c r="Q9" i="81" s="1"/>
  <c r="J17" i="87"/>
  <c r="M9" i="81"/>
  <c r="G17" i="87"/>
  <c r="F17" i="87"/>
  <c r="L13" i="87"/>
  <c r="L18" i="87" s="1"/>
  <c r="K13" i="87"/>
  <c r="J13" i="87"/>
  <c r="E9" i="81"/>
  <c r="G13" i="87"/>
  <c r="G18" i="87"/>
  <c r="F13" i="87"/>
  <c r="D44" i="89" s="1"/>
  <c r="L18" i="83"/>
  <c r="L19" i="83" s="1"/>
  <c r="K18" i="83"/>
  <c r="Q15" i="81"/>
  <c r="G178" i="85" s="1"/>
  <c r="J18" i="83"/>
  <c r="M15" i="81"/>
  <c r="G176" i="85" s="1"/>
  <c r="G18" i="83"/>
  <c r="F18" i="83"/>
  <c r="L14" i="83"/>
  <c r="K14" i="83"/>
  <c r="K19" i="83" s="1"/>
  <c r="J14" i="83"/>
  <c r="E15" i="81"/>
  <c r="E176" i="85" s="1"/>
  <c r="C176" i="85" s="1"/>
  <c r="L15" i="77"/>
  <c r="K15" i="77"/>
  <c r="Q32" i="81"/>
  <c r="G68" i="85" s="1"/>
  <c r="J15" i="77"/>
  <c r="M32" i="81"/>
  <c r="G66" i="85" s="1"/>
  <c r="G15" i="77"/>
  <c r="M15" i="77" s="1"/>
  <c r="K32" i="81" s="1"/>
  <c r="O32" i="81" s="1"/>
  <c r="G67" i="85" s="1"/>
  <c r="L12" i="77"/>
  <c r="L16" i="77" s="1"/>
  <c r="K12" i="77"/>
  <c r="K16" i="77" s="1"/>
  <c r="J12" i="77"/>
  <c r="E32" i="81" s="1"/>
  <c r="G12" i="77"/>
  <c r="G16" i="77"/>
  <c r="L23" i="36"/>
  <c r="K23" i="36"/>
  <c r="Q8" i="81"/>
  <c r="G173" i="85" s="1"/>
  <c r="J23" i="36"/>
  <c r="M8" i="81" s="1"/>
  <c r="G171" i="85" s="1"/>
  <c r="G23" i="36"/>
  <c r="F23" i="36"/>
  <c r="L19" i="36"/>
  <c r="L24" i="36" s="1"/>
  <c r="K19" i="36"/>
  <c r="I8" i="81" s="1"/>
  <c r="E173" i="85" s="1"/>
  <c r="C173" i="85" s="1"/>
  <c r="J19" i="36"/>
  <c r="E8" i="81" s="1"/>
  <c r="E171" i="85" s="1"/>
  <c r="G19" i="36"/>
  <c r="L20" i="69"/>
  <c r="K20" i="69"/>
  <c r="Q7" i="81"/>
  <c r="G168" i="85" s="1"/>
  <c r="J20" i="69"/>
  <c r="G20" i="69"/>
  <c r="O20" i="69" s="1"/>
  <c r="F20" i="69"/>
  <c r="F21" i="69" s="1"/>
  <c r="L16" i="69"/>
  <c r="L21" i="69" s="1"/>
  <c r="K16" i="69"/>
  <c r="K21" i="69" s="1"/>
  <c r="J16" i="69"/>
  <c r="E7" i="81" s="1"/>
  <c r="G16" i="69"/>
  <c r="O16" i="69" s="1"/>
  <c r="C7" i="81" s="1"/>
  <c r="L24" i="26"/>
  <c r="K24" i="26"/>
  <c r="Q10" i="81" s="1"/>
  <c r="G163" i="85" s="1"/>
  <c r="J24" i="26"/>
  <c r="M10" i="81" s="1"/>
  <c r="G161" i="85" s="1"/>
  <c r="G24" i="26"/>
  <c r="P24" i="26"/>
  <c r="K10" i="81" s="1"/>
  <c r="L17" i="26"/>
  <c r="K17" i="26"/>
  <c r="I10" i="81" s="1"/>
  <c r="E163" i="85" s="1"/>
  <c r="J17" i="26"/>
  <c r="E10" i="81"/>
  <c r="E161" i="85" s="1"/>
  <c r="G17" i="26"/>
  <c r="L17" i="71"/>
  <c r="K17" i="71"/>
  <c r="Q11" i="81"/>
  <c r="J17" i="71"/>
  <c r="M11" i="81" s="1"/>
  <c r="G156" i="85" s="1"/>
  <c r="C156" i="85" s="1"/>
  <c r="G17" i="71"/>
  <c r="F17" i="71"/>
  <c r="O17" i="71" s="1"/>
  <c r="K11" i="81" s="1"/>
  <c r="O11" i="81" s="1"/>
  <c r="G157" i="85" s="1"/>
  <c r="L13" i="71"/>
  <c r="L18" i="71" s="1"/>
  <c r="K13" i="71"/>
  <c r="J13" i="71"/>
  <c r="G13" i="71"/>
  <c r="L18" i="67"/>
  <c r="K18" i="67"/>
  <c r="Q12" i="81" s="1"/>
  <c r="G153" i="85" s="1"/>
  <c r="J18" i="67"/>
  <c r="M12" i="81" s="1"/>
  <c r="F18" i="67"/>
  <c r="P18" i="67"/>
  <c r="L14" i="67"/>
  <c r="K14" i="67"/>
  <c r="I12" i="81" s="1"/>
  <c r="E153" i="85" s="1"/>
  <c r="J14" i="67"/>
  <c r="E12" i="81" s="1"/>
  <c r="L18" i="48"/>
  <c r="K18" i="48"/>
  <c r="Q6" i="81" s="1"/>
  <c r="J18" i="48"/>
  <c r="M6" i="81" s="1"/>
  <c r="G146" i="85" s="1"/>
  <c r="G18" i="48"/>
  <c r="F18" i="48"/>
  <c r="L14" i="48"/>
  <c r="L19" i="48" s="1"/>
  <c r="K14" i="48"/>
  <c r="I6" i="81" s="1"/>
  <c r="J14" i="48"/>
  <c r="E6" i="81" s="1"/>
  <c r="L18" i="47"/>
  <c r="K18" i="47"/>
  <c r="Q14" i="81" s="1"/>
  <c r="J18" i="47"/>
  <c r="M14" i="81" s="1"/>
  <c r="G18" i="47"/>
  <c r="G19" i="47" s="1"/>
  <c r="L13" i="47"/>
  <c r="L19" i="47" s="1"/>
  <c r="K13" i="47"/>
  <c r="I14" i="81" s="1"/>
  <c r="E143" i="85" s="1"/>
  <c r="J13" i="47"/>
  <c r="E14" i="81" s="1"/>
  <c r="E141" i="85" s="1"/>
  <c r="L17" i="70"/>
  <c r="K17" i="70"/>
  <c r="Q19" i="81"/>
  <c r="G138" i="85" s="1"/>
  <c r="J17" i="70"/>
  <c r="M19" i="81" s="1"/>
  <c r="G136" i="85" s="1"/>
  <c r="G17" i="70"/>
  <c r="N17" i="70" s="1"/>
  <c r="K19" i="81" s="1"/>
  <c r="O19" i="81" s="1"/>
  <c r="G137" i="85" s="1"/>
  <c r="F17" i="70"/>
  <c r="F18" i="70"/>
  <c r="L13" i="70"/>
  <c r="L18" i="70" s="1"/>
  <c r="K13" i="70"/>
  <c r="J13" i="70"/>
  <c r="E19" i="81"/>
  <c r="U19" i="81"/>
  <c r="G13" i="70"/>
  <c r="L17" i="62"/>
  <c r="L18" i="62"/>
  <c r="K17" i="62"/>
  <c r="Q17" i="81" s="1"/>
  <c r="G133" i="85" s="1"/>
  <c r="J17" i="62"/>
  <c r="M17" i="81"/>
  <c r="G131" i="85" s="1"/>
  <c r="G17" i="62"/>
  <c r="G18" i="62"/>
  <c r="F17" i="62"/>
  <c r="F18" i="62" s="1"/>
  <c r="L13" i="62"/>
  <c r="K13" i="62"/>
  <c r="J13" i="62"/>
  <c r="E17" i="81" s="1"/>
  <c r="M13" i="81"/>
  <c r="G126" i="85" s="1"/>
  <c r="L42" i="45"/>
  <c r="L51" i="45" s="1"/>
  <c r="K42" i="45"/>
  <c r="K51" i="45" s="1"/>
  <c r="J42" i="45"/>
  <c r="J51" i="45" s="1"/>
  <c r="L17" i="44"/>
  <c r="K17" i="44"/>
  <c r="Q18" i="81" s="1"/>
  <c r="G98" i="85" s="1"/>
  <c r="J17" i="44"/>
  <c r="M18" i="81"/>
  <c r="G96" i="85" s="1"/>
  <c r="F17" i="44"/>
  <c r="L13" i="44"/>
  <c r="K13" i="44"/>
  <c r="I18" i="81" s="1"/>
  <c r="J13" i="44"/>
  <c r="J18" i="44" s="1"/>
  <c r="G13" i="44"/>
  <c r="L21" i="73"/>
  <c r="L22" i="73" s="1"/>
  <c r="K21" i="73"/>
  <c r="Q16" i="81" s="1"/>
  <c r="J21" i="73"/>
  <c r="M16" i="81" s="1"/>
  <c r="L16" i="73"/>
  <c r="K16" i="73"/>
  <c r="K22" i="73" s="1"/>
  <c r="J16" i="73"/>
  <c r="L21" i="17"/>
  <c r="K21" i="17"/>
  <c r="Q34" i="81" s="1"/>
  <c r="J21" i="17"/>
  <c r="M34" i="81" s="1"/>
  <c r="G76" i="85" s="1"/>
  <c r="G21" i="17"/>
  <c r="L15" i="17"/>
  <c r="K15" i="17"/>
  <c r="I34" i="81" s="1"/>
  <c r="E78" i="85" s="1"/>
  <c r="J15" i="17"/>
  <c r="E34" i="81" s="1"/>
  <c r="E76" i="85" s="1"/>
  <c r="L57" i="35"/>
  <c r="K57" i="35"/>
  <c r="Q33" i="81" s="1"/>
  <c r="G73" i="85" s="1"/>
  <c r="J57" i="35"/>
  <c r="M33" i="81" s="1"/>
  <c r="G71" i="85" s="1"/>
  <c r="G42" i="35"/>
  <c r="G43" i="35" s="1"/>
  <c r="F42" i="35"/>
  <c r="L38" i="20"/>
  <c r="K38" i="20"/>
  <c r="J38" i="20"/>
  <c r="M30" i="81" s="1"/>
  <c r="G56" i="85" s="1"/>
  <c r="G38" i="20"/>
  <c r="L21" i="20"/>
  <c r="K21" i="20"/>
  <c r="I30" i="81" s="1"/>
  <c r="E58" i="85" s="1"/>
  <c r="J21" i="20"/>
  <c r="E30" i="81" s="1"/>
  <c r="E56" i="85" s="1"/>
  <c r="G21" i="20"/>
  <c r="L24" i="21"/>
  <c r="K24" i="21"/>
  <c r="Q29" i="81" s="1"/>
  <c r="G53" i="85" s="1"/>
  <c r="J24" i="21"/>
  <c r="M29" i="81"/>
  <c r="G51" i="85" s="1"/>
  <c r="L18" i="21"/>
  <c r="K18" i="21"/>
  <c r="I29" i="81" s="1"/>
  <c r="E53" i="85" s="1"/>
  <c r="J18" i="21"/>
  <c r="G18" i="21"/>
  <c r="L35" i="22"/>
  <c r="K35" i="22"/>
  <c r="Q28" i="81" s="1"/>
  <c r="G48" i="85" s="1"/>
  <c r="J35" i="22"/>
  <c r="M28" i="81" s="1"/>
  <c r="G35" i="22"/>
  <c r="P35" i="22"/>
  <c r="K28" i="81"/>
  <c r="L27" i="22"/>
  <c r="K27" i="22"/>
  <c r="J27" i="22"/>
  <c r="E28" i="81"/>
  <c r="E46" i="85" s="1"/>
  <c r="L19" i="23"/>
  <c r="K19" i="23"/>
  <c r="Q27" i="81" s="1"/>
  <c r="J19" i="23"/>
  <c r="G19" i="23"/>
  <c r="L32" i="24"/>
  <c r="K32" i="24"/>
  <c r="Q26" i="81" s="1"/>
  <c r="G38" i="85" s="1"/>
  <c r="J32" i="24"/>
  <c r="M26" i="81" s="1"/>
  <c r="G36" i="85" s="1"/>
  <c r="L17" i="24"/>
  <c r="L33" i="24" s="1"/>
  <c r="K17" i="24"/>
  <c r="K33" i="24" s="1"/>
  <c r="J17" i="24"/>
  <c r="E26" i="81" s="1"/>
  <c r="E36" i="85" s="1"/>
  <c r="G17" i="24"/>
  <c r="P17" i="24" s="1"/>
  <c r="C26" i="81" s="1"/>
  <c r="L32" i="4"/>
  <c r="K32" i="4"/>
  <c r="Q25" i="81" s="1"/>
  <c r="J32" i="4"/>
  <c r="G32" i="4"/>
  <c r="L24" i="4"/>
  <c r="K24" i="4"/>
  <c r="K33" i="4" s="1"/>
  <c r="J24" i="4"/>
  <c r="E25" i="81" s="1"/>
  <c r="E31" i="85" s="1"/>
  <c r="G24" i="4"/>
  <c r="L19" i="25"/>
  <c r="L20" i="25" s="1"/>
  <c r="K19" i="25"/>
  <c r="Q24" i="81" s="1"/>
  <c r="G28" i="85" s="1"/>
  <c r="M24" i="81"/>
  <c r="G26" i="85" s="1"/>
  <c r="L21" i="14"/>
  <c r="L22" i="14" s="1"/>
  <c r="K21" i="14"/>
  <c r="Q23" i="81" s="1"/>
  <c r="G23" i="85" s="1"/>
  <c r="J21" i="14"/>
  <c r="L15" i="14"/>
  <c r="K15" i="14"/>
  <c r="I23" i="81" s="1"/>
  <c r="Y23" i="81" s="1"/>
  <c r="AD23" i="81" s="1"/>
  <c r="J15" i="14"/>
  <c r="L24" i="9"/>
  <c r="K24" i="9"/>
  <c r="Q22" i="81" s="1"/>
  <c r="G18" i="85" s="1"/>
  <c r="J24" i="9"/>
  <c r="M22" i="81" s="1"/>
  <c r="G24" i="9"/>
  <c r="L18" i="9"/>
  <c r="L25" i="9" s="1"/>
  <c r="K18" i="9"/>
  <c r="I22" i="81" s="1"/>
  <c r="E18" i="85" s="1"/>
  <c r="J18" i="9"/>
  <c r="E22" i="81" s="1"/>
  <c r="G18" i="9"/>
  <c r="P18" i="9" s="1"/>
  <c r="C22" i="81" s="1"/>
  <c r="G17" i="5"/>
  <c r="L13" i="5"/>
  <c r="K13" i="5"/>
  <c r="I21" i="81" s="1"/>
  <c r="E13" i="85" s="1"/>
  <c r="J13" i="5"/>
  <c r="E21" i="81" s="1"/>
  <c r="E11" i="85" s="1"/>
  <c r="G13" i="5"/>
  <c r="G21" i="19"/>
  <c r="G16" i="19"/>
  <c r="P16" i="19" s="1"/>
  <c r="C20" i="81" s="1"/>
  <c r="G21" i="80"/>
  <c r="M21" i="80" s="1"/>
  <c r="K5" i="81" s="1"/>
  <c r="O5" i="81" s="1"/>
  <c r="J21" i="80"/>
  <c r="M5" i="81" s="1"/>
  <c r="K21" i="80"/>
  <c r="Q5" i="81"/>
  <c r="L21" i="80"/>
  <c r="G16" i="80"/>
  <c r="J16" i="80"/>
  <c r="K16" i="80"/>
  <c r="I5" i="81" s="1"/>
  <c r="Y5" i="81" s="1"/>
  <c r="L16" i="80"/>
  <c r="L22" i="80"/>
  <c r="D163" i="85"/>
  <c r="F126" i="85"/>
  <c r="F127" i="85"/>
  <c r="D142" i="85"/>
  <c r="D112" i="85"/>
  <c r="D108" i="85"/>
  <c r="D67" i="85"/>
  <c r="D62" i="85"/>
  <c r="D57" i="85"/>
  <c r="D52" i="85"/>
  <c r="D27" i="85"/>
  <c r="D12" i="85"/>
  <c r="D173" i="85"/>
  <c r="D168" i="85"/>
  <c r="D161" i="85"/>
  <c r="D153" i="85"/>
  <c r="H145" i="85"/>
  <c r="D148" i="85"/>
  <c r="D138" i="85"/>
  <c r="D132" i="85"/>
  <c r="D131" i="85"/>
  <c r="D111" i="85"/>
  <c r="D78" i="85"/>
  <c r="D73" i="85"/>
  <c r="D33" i="85"/>
  <c r="F20" i="85"/>
  <c r="H177" i="85"/>
  <c r="H175" i="85" s="1"/>
  <c r="H162" i="85"/>
  <c r="H160" i="85"/>
  <c r="H127" i="85"/>
  <c r="D127" i="85" s="1"/>
  <c r="H92" i="85"/>
  <c r="J8" i="85"/>
  <c r="I8" i="85"/>
  <c r="I7" i="85"/>
  <c r="J6" i="85"/>
  <c r="D136" i="85"/>
  <c r="D43" i="85"/>
  <c r="H15" i="85"/>
  <c r="D15" i="85" s="1"/>
  <c r="H5" i="85"/>
  <c r="D178" i="85"/>
  <c r="D176" i="85"/>
  <c r="F175" i="85"/>
  <c r="D175" i="85" s="1"/>
  <c r="D68" i="85"/>
  <c r="H65" i="85"/>
  <c r="D66" i="85"/>
  <c r="F65" i="85"/>
  <c r="D65" i="85"/>
  <c r="D172" i="85"/>
  <c r="D171" i="85"/>
  <c r="H170" i="85"/>
  <c r="D170" i="85"/>
  <c r="F170" i="85"/>
  <c r="D166" i="85"/>
  <c r="D167" i="85"/>
  <c r="H165" i="85"/>
  <c r="D165" i="85" s="1"/>
  <c r="F165" i="85"/>
  <c r="D162" i="85"/>
  <c r="F160" i="85"/>
  <c r="D158" i="85"/>
  <c r="D157" i="85"/>
  <c r="D156" i="85"/>
  <c r="H155" i="85"/>
  <c r="D155" i="85" s="1"/>
  <c r="F155" i="85"/>
  <c r="D152" i="85"/>
  <c r="D151" i="85"/>
  <c r="H150" i="85"/>
  <c r="D150" i="85"/>
  <c r="F150" i="85"/>
  <c r="D147" i="85"/>
  <c r="D146" i="85"/>
  <c r="F145" i="85"/>
  <c r="D143" i="85"/>
  <c r="D141" i="85"/>
  <c r="H140" i="85"/>
  <c r="F140" i="85"/>
  <c r="D140" i="85"/>
  <c r="D137" i="85"/>
  <c r="H135" i="85"/>
  <c r="F135" i="85"/>
  <c r="D135" i="85"/>
  <c r="D133" i="85"/>
  <c r="H130" i="85"/>
  <c r="F130" i="85"/>
  <c r="D130" i="85"/>
  <c r="D128" i="85"/>
  <c r="D123" i="85"/>
  <c r="D122" i="85"/>
  <c r="D121" i="85"/>
  <c r="H120" i="85"/>
  <c r="F120" i="85"/>
  <c r="D120" i="85" s="1"/>
  <c r="D116" i="85"/>
  <c r="D118" i="85"/>
  <c r="D117" i="85"/>
  <c r="H115" i="85"/>
  <c r="F115" i="85"/>
  <c r="D115" i="85" s="1"/>
  <c r="D113" i="85"/>
  <c r="H110" i="85"/>
  <c r="F110" i="85"/>
  <c r="D110" i="85"/>
  <c r="D107" i="85"/>
  <c r="D106" i="85"/>
  <c r="H105" i="85"/>
  <c r="D105" i="85"/>
  <c r="F105" i="85"/>
  <c r="D102" i="85"/>
  <c r="H20" i="85"/>
  <c r="D20" i="85"/>
  <c r="F15" i="85"/>
  <c r="H10" i="85"/>
  <c r="F10" i="85"/>
  <c r="D10" i="85" s="1"/>
  <c r="F5" i="85"/>
  <c r="F100" i="85"/>
  <c r="D100" i="85"/>
  <c r="D103" i="85"/>
  <c r="D101" i="85"/>
  <c r="H100" i="85"/>
  <c r="D98" i="85"/>
  <c r="D97" i="85"/>
  <c r="D96" i="85"/>
  <c r="H95" i="85"/>
  <c r="F95" i="85"/>
  <c r="D95" i="85" s="1"/>
  <c r="D93" i="85"/>
  <c r="D91" i="85"/>
  <c r="F90" i="85"/>
  <c r="D88" i="85"/>
  <c r="D87" i="85"/>
  <c r="D86" i="85"/>
  <c r="H85" i="85"/>
  <c r="D85" i="85" s="1"/>
  <c r="F85" i="85"/>
  <c r="D83" i="85"/>
  <c r="D82" i="85"/>
  <c r="D81" i="85"/>
  <c r="H80" i="85"/>
  <c r="F80" i="85"/>
  <c r="D80" i="85" s="1"/>
  <c r="H75" i="85"/>
  <c r="D77" i="85"/>
  <c r="D76" i="85"/>
  <c r="F75" i="85"/>
  <c r="D75" i="85"/>
  <c r="D72" i="85"/>
  <c r="D71" i="85"/>
  <c r="H70" i="85"/>
  <c r="F70" i="85"/>
  <c r="D70" i="85" s="1"/>
  <c r="D63" i="85"/>
  <c r="D61" i="85"/>
  <c r="H60" i="85"/>
  <c r="F60" i="85"/>
  <c r="D58" i="85"/>
  <c r="D56" i="85"/>
  <c r="H55" i="85"/>
  <c r="F55" i="85"/>
  <c r="D55" i="85" s="1"/>
  <c r="D53" i="85"/>
  <c r="D51" i="85"/>
  <c r="H50" i="85"/>
  <c r="F50" i="85"/>
  <c r="D50" i="85"/>
  <c r="D48" i="85"/>
  <c r="D47" i="85"/>
  <c r="D46" i="85"/>
  <c r="H45" i="85"/>
  <c r="F45" i="85"/>
  <c r="D42" i="85"/>
  <c r="D41" i="85"/>
  <c r="H40" i="85"/>
  <c r="F40" i="85"/>
  <c r="D40" i="85" s="1"/>
  <c r="D38" i="85"/>
  <c r="D37" i="85"/>
  <c r="D36" i="85"/>
  <c r="H35" i="85"/>
  <c r="F35" i="85"/>
  <c r="H30" i="85"/>
  <c r="D32" i="85"/>
  <c r="D31" i="85"/>
  <c r="F30" i="85"/>
  <c r="D30" i="85" s="1"/>
  <c r="H25" i="85"/>
  <c r="F25" i="85"/>
  <c r="D25" i="85"/>
  <c r="D28" i="85"/>
  <c r="D26" i="85"/>
  <c r="D23" i="85"/>
  <c r="D22" i="85"/>
  <c r="D21" i="85"/>
  <c r="D18" i="85"/>
  <c r="D17" i="85"/>
  <c r="D16" i="85"/>
  <c r="D13" i="85"/>
  <c r="D11" i="85"/>
  <c r="D8" i="85"/>
  <c r="D6" i="85"/>
  <c r="D7" i="85"/>
  <c r="K19" i="84"/>
  <c r="K20" i="84" s="1"/>
  <c r="K21" i="84"/>
  <c r="K22" i="84" s="1"/>
  <c r="K23" i="84" s="1"/>
  <c r="K24" i="84" s="1"/>
  <c r="K25" i="84" s="1"/>
  <c r="K26" i="84" s="1"/>
  <c r="K27" i="84" s="1"/>
  <c r="K28" i="84" s="1"/>
  <c r="K29" i="84" s="1"/>
  <c r="K30" i="84" s="1"/>
  <c r="K31" i="84" s="1"/>
  <c r="K32" i="84" s="1"/>
  <c r="K33" i="84" s="1"/>
  <c r="K34" i="84" s="1"/>
  <c r="K35" i="84" s="1"/>
  <c r="K36" i="84" s="1"/>
  <c r="K37" i="84" s="1"/>
  <c r="K38" i="84" s="1"/>
  <c r="K39" i="84" s="1"/>
  <c r="K40" i="84" s="1"/>
  <c r="K41" i="84" s="1"/>
  <c r="K42" i="84" s="1"/>
  <c r="K43" i="84" s="1"/>
  <c r="K44" i="84" s="1"/>
  <c r="K45" i="84" s="1"/>
  <c r="K46" i="84" s="1"/>
  <c r="K47" i="84" s="1"/>
  <c r="A16" i="84"/>
  <c r="A13" i="84"/>
  <c r="A8" i="84" s="1"/>
  <c r="A9" i="84"/>
  <c r="A18" i="84"/>
  <c r="A19" i="84" s="1"/>
  <c r="C22" i="78"/>
  <c r="D22" i="78"/>
  <c r="D34" i="78"/>
  <c r="D46" i="78"/>
  <c r="D44" i="78" s="1"/>
  <c r="D70" i="78"/>
  <c r="D65" i="78"/>
  <c r="K8" i="85"/>
  <c r="D5" i="85"/>
  <c r="N13" i="87"/>
  <c r="C9" i="81"/>
  <c r="G9" i="81" s="1"/>
  <c r="E16" i="81"/>
  <c r="E91" i="85" s="1"/>
  <c r="Q13" i="81"/>
  <c r="G128" i="85" s="1"/>
  <c r="K13" i="81"/>
  <c r="L18" i="44"/>
  <c r="E18" i="81"/>
  <c r="U18" i="81" s="1"/>
  <c r="N13" i="70"/>
  <c r="C19" i="81"/>
  <c r="G19" i="81" s="1"/>
  <c r="P32" i="24"/>
  <c r="D11" i="81"/>
  <c r="T11" i="81" s="1"/>
  <c r="C40" i="82" s="1"/>
  <c r="D30" i="81"/>
  <c r="D8" i="81"/>
  <c r="H8" i="81" s="1"/>
  <c r="E11" i="81"/>
  <c r="J24" i="36"/>
  <c r="J18" i="70"/>
  <c r="D19" i="81"/>
  <c r="T19" i="81" s="1"/>
  <c r="O13" i="62"/>
  <c r="C17" i="81" s="1"/>
  <c r="I42" i="81"/>
  <c r="E118" i="85" s="1"/>
  <c r="L21" i="81"/>
  <c r="L10" i="81"/>
  <c r="J16" i="77"/>
  <c r="I32" i="81"/>
  <c r="Y32" i="81" s="1"/>
  <c r="M12" i="77"/>
  <c r="L16" i="81"/>
  <c r="K18" i="44"/>
  <c r="E37" i="81"/>
  <c r="D35" i="85"/>
  <c r="J7" i="85"/>
  <c r="I39" i="78"/>
  <c r="K7" i="85"/>
  <c r="L18" i="81"/>
  <c r="P18" i="81" s="1"/>
  <c r="J18" i="87"/>
  <c r="D32" i="81"/>
  <c r="H32" i="81"/>
  <c r="X32" i="81" s="1"/>
  <c r="T32" i="81"/>
  <c r="C43" i="82" s="1"/>
  <c r="N17" i="87"/>
  <c r="K9" i="81"/>
  <c r="O9" i="81" s="1"/>
  <c r="O17" i="62"/>
  <c r="A18" i="88"/>
  <c r="N18" i="87"/>
  <c r="I13" i="81"/>
  <c r="E128" i="85" s="1"/>
  <c r="E13" i="81"/>
  <c r="P17" i="81"/>
  <c r="D15" i="81"/>
  <c r="H19" i="83"/>
  <c r="P15" i="81"/>
  <c r="E23" i="81"/>
  <c r="E21" i="85" s="1"/>
  <c r="G22" i="14"/>
  <c r="N18" i="70"/>
  <c r="J19" i="83"/>
  <c r="K19" i="43"/>
  <c r="P17" i="88"/>
  <c r="K37" i="81"/>
  <c r="D26" i="81"/>
  <c r="H26" i="81" s="1"/>
  <c r="C17" i="89"/>
  <c r="E68" i="85"/>
  <c r="C68" i="85" s="1"/>
  <c r="P15" i="14"/>
  <c r="C23" i="81" s="1"/>
  <c r="C21" i="89"/>
  <c r="D15" i="89"/>
  <c r="L24" i="81"/>
  <c r="C12" i="89"/>
  <c r="A18" i="5"/>
  <c r="D21" i="81"/>
  <c r="G158" i="85"/>
  <c r="A18" i="70"/>
  <c r="H19" i="81"/>
  <c r="A18" i="87"/>
  <c r="G24" i="36"/>
  <c r="F19" i="48"/>
  <c r="G148" i="85"/>
  <c r="K18" i="88"/>
  <c r="F18" i="88"/>
  <c r="P13" i="88"/>
  <c r="P18" i="88" s="1"/>
  <c r="C37" i="81"/>
  <c r="G37" i="81" s="1"/>
  <c r="E27" i="81"/>
  <c r="E41" i="85" s="1"/>
  <c r="L5" i="81"/>
  <c r="C22" i="89"/>
  <c r="A22" i="73"/>
  <c r="K12" i="81"/>
  <c r="O12" i="81" s="1"/>
  <c r="G152" i="85" s="1"/>
  <c r="L25" i="81"/>
  <c r="P5" i="81"/>
  <c r="A22" i="80"/>
  <c r="D5" i="81"/>
  <c r="T5" i="81" s="1"/>
  <c r="C9" i="82" s="1"/>
  <c r="P18" i="47"/>
  <c r="K14" i="81" s="1"/>
  <c r="F35" i="89"/>
  <c r="V8" i="81"/>
  <c r="K22" i="80"/>
  <c r="V5" i="81"/>
  <c r="F22" i="80"/>
  <c r="M16" i="80"/>
  <c r="C5" i="81" s="1"/>
  <c r="M22" i="80"/>
  <c r="A26" i="91"/>
  <c r="F8" i="91"/>
  <c r="F16" i="91"/>
  <c r="A6" i="91"/>
  <c r="A16" i="91"/>
  <c r="A8" i="91"/>
  <c r="A7" i="91"/>
  <c r="F6" i="91"/>
  <c r="F5" i="91" s="1"/>
  <c r="D22" i="89"/>
  <c r="F19" i="89"/>
  <c r="D12" i="89"/>
  <c r="F18" i="5"/>
  <c r="P17" i="5"/>
  <c r="K21" i="81" s="1"/>
  <c r="C32" i="89"/>
  <c r="K19" i="7"/>
  <c r="A19" i="43"/>
  <c r="E123" i="85"/>
  <c r="C123" i="85" s="1"/>
  <c r="L40" i="81"/>
  <c r="P40" i="81" s="1"/>
  <c r="E40" i="81"/>
  <c r="E111" i="85" s="1"/>
  <c r="A38" i="42"/>
  <c r="P19" i="8"/>
  <c r="C39" i="81" s="1"/>
  <c r="E29" i="89"/>
  <c r="V39" i="81"/>
  <c r="L39" i="81"/>
  <c r="C29" i="89"/>
  <c r="C28" i="89"/>
  <c r="A19" i="11"/>
  <c r="E28" i="89"/>
  <c r="L38" i="81"/>
  <c r="P38" i="81" s="1"/>
  <c r="L34" i="16"/>
  <c r="L35" i="81"/>
  <c r="P35" i="81" s="1"/>
  <c r="D34" i="81"/>
  <c r="H34" i="81" s="1"/>
  <c r="A22" i="17"/>
  <c r="H22" i="17"/>
  <c r="D24" i="89"/>
  <c r="E24" i="89"/>
  <c r="P57" i="35"/>
  <c r="K33" i="81" s="1"/>
  <c r="D31" i="81"/>
  <c r="E22" i="89"/>
  <c r="L30" i="81"/>
  <c r="P30" i="81" s="1"/>
  <c r="A39" i="20"/>
  <c r="F25" i="21"/>
  <c r="P24" i="21"/>
  <c r="K29" i="81" s="1"/>
  <c r="A25" i="21"/>
  <c r="P27" i="22"/>
  <c r="P36" i="22" s="1"/>
  <c r="D19" i="89"/>
  <c r="P19" i="25"/>
  <c r="K24" i="81" s="1"/>
  <c r="E13" i="89"/>
  <c r="G25" i="9"/>
  <c r="D22" i="81"/>
  <c r="J19" i="47"/>
  <c r="C35" i="89"/>
  <c r="E35" i="89"/>
  <c r="L14" i="81"/>
  <c r="P14" i="81" s="1"/>
  <c r="L13" i="81"/>
  <c r="P13" i="81" s="1"/>
  <c r="K19" i="67"/>
  <c r="D45" i="89"/>
  <c r="E11" i="89"/>
  <c r="L20" i="81"/>
  <c r="C11" i="89"/>
  <c r="C34" i="82"/>
  <c r="G135" i="85"/>
  <c r="E137" i="85"/>
  <c r="C137" i="85"/>
  <c r="W19" i="81"/>
  <c r="S19" i="81"/>
  <c r="E136" i="85"/>
  <c r="D34" i="82"/>
  <c r="AC19" i="81"/>
  <c r="AA19" i="81"/>
  <c r="E135" i="85"/>
  <c r="C135" i="85"/>
  <c r="C136" i="85"/>
  <c r="E156" i="85"/>
  <c r="H12" i="81"/>
  <c r="G151" i="85"/>
  <c r="AD41" i="81"/>
  <c r="L38" i="42"/>
  <c r="F22" i="14"/>
  <c r="C14" i="89"/>
  <c r="E14" i="89"/>
  <c r="A22" i="14"/>
  <c r="F14" i="89"/>
  <c r="H42" i="81" l="1"/>
  <c r="F32" i="89"/>
  <c r="P18" i="43"/>
  <c r="K41" i="81" s="1"/>
  <c r="J25" i="8"/>
  <c r="P13" i="11"/>
  <c r="C38" i="81" s="1"/>
  <c r="G38" i="81" s="1"/>
  <c r="E102" i="85" s="1"/>
  <c r="E100" i="85" s="1"/>
  <c r="J55" i="15"/>
  <c r="V36" i="81"/>
  <c r="F55" i="15"/>
  <c r="Z36" i="81"/>
  <c r="E36" i="81"/>
  <c r="E86" i="85" s="1"/>
  <c r="F22" i="17"/>
  <c r="O33" i="81"/>
  <c r="G72" i="85" s="1"/>
  <c r="L58" i="35"/>
  <c r="H43" i="35"/>
  <c r="K58" i="35"/>
  <c r="L34" i="18"/>
  <c r="F22" i="89"/>
  <c r="Z31" i="81"/>
  <c r="P38" i="20"/>
  <c r="K30" i="81" s="1"/>
  <c r="T29" i="81"/>
  <c r="C19" i="82" s="1"/>
  <c r="D17" i="89"/>
  <c r="E24" i="81"/>
  <c r="G22" i="81"/>
  <c r="E17" i="85" s="1"/>
  <c r="E16" i="85"/>
  <c r="G22" i="19"/>
  <c r="F11" i="89"/>
  <c r="H22" i="19"/>
  <c r="Z20" i="81"/>
  <c r="F18" i="44"/>
  <c r="P16" i="81"/>
  <c r="X16" i="81" s="1"/>
  <c r="D14" i="81"/>
  <c r="H14" i="81" s="1"/>
  <c r="F25" i="26"/>
  <c r="Z10" i="81"/>
  <c r="L25" i="26"/>
  <c r="P7" i="81"/>
  <c r="V7" i="81"/>
  <c r="H21" i="69"/>
  <c r="J21" i="69"/>
  <c r="H53" i="45"/>
  <c r="P24" i="8"/>
  <c r="P25" i="8" s="1"/>
  <c r="V35" i="81"/>
  <c r="P22" i="16"/>
  <c r="D35" i="81"/>
  <c r="H35" i="81" s="1"/>
  <c r="Z30" i="81"/>
  <c r="I25" i="81"/>
  <c r="E33" i="85" s="1"/>
  <c r="F33" i="4"/>
  <c r="V10" i="81"/>
  <c r="P10" i="81"/>
  <c r="V18" i="81"/>
  <c r="T14" i="81"/>
  <c r="C35" i="82" s="1"/>
  <c r="O13" i="81"/>
  <c r="G127" i="85" s="1"/>
  <c r="G125" i="85" s="1"/>
  <c r="G150" i="85"/>
  <c r="V42" i="81"/>
  <c r="H41" i="81"/>
  <c r="X41" i="81" s="1"/>
  <c r="O41" i="81"/>
  <c r="G122" i="85" s="1"/>
  <c r="G120" i="85" s="1"/>
  <c r="G39" i="81"/>
  <c r="E107" i="85" s="1"/>
  <c r="E105" i="85" s="1"/>
  <c r="P34" i="81"/>
  <c r="X34" i="81" s="1"/>
  <c r="G70" i="85"/>
  <c r="P33" i="81"/>
  <c r="O31" i="81"/>
  <c r="G62" i="85" s="1"/>
  <c r="G60" i="85" s="1"/>
  <c r="P31" i="81"/>
  <c r="G23" i="81"/>
  <c r="E22" i="85" s="1"/>
  <c r="V23" i="81"/>
  <c r="L22" i="19"/>
  <c r="G39" i="20"/>
  <c r="F34" i="16"/>
  <c r="H39" i="81"/>
  <c r="H11" i="81"/>
  <c r="X11" i="81" s="1"/>
  <c r="O13" i="71"/>
  <c r="V11" i="81"/>
  <c r="D46" i="89"/>
  <c r="J18" i="71"/>
  <c r="G18" i="71"/>
  <c r="U11" i="81"/>
  <c r="J25" i="26"/>
  <c r="C161" i="85"/>
  <c r="C163" i="85"/>
  <c r="U10" i="81"/>
  <c r="K25" i="26"/>
  <c r="H25" i="26"/>
  <c r="Y10" i="81"/>
  <c r="T8" i="81"/>
  <c r="C42" i="82" s="1"/>
  <c r="U8" i="81"/>
  <c r="K24" i="36"/>
  <c r="D43" i="89"/>
  <c r="Y8" i="81"/>
  <c r="AD8" i="81" s="1"/>
  <c r="P19" i="36"/>
  <c r="H7" i="81"/>
  <c r="X7" i="81" s="1"/>
  <c r="M7" i="81"/>
  <c r="G166" i="85" s="1"/>
  <c r="I7" i="81"/>
  <c r="E168" i="85" s="1"/>
  <c r="C168" i="85" s="1"/>
  <c r="O18" i="48"/>
  <c r="K6" i="81" s="1"/>
  <c r="S6" i="81" s="1"/>
  <c r="G19" i="48"/>
  <c r="Y6" i="81"/>
  <c r="AD6" i="81" s="1"/>
  <c r="E148" i="85"/>
  <c r="C148" i="85" s="1"/>
  <c r="O6" i="81"/>
  <c r="E146" i="85"/>
  <c r="C146" i="85" s="1"/>
  <c r="U6" i="81"/>
  <c r="D6" i="81"/>
  <c r="H6" i="81" s="1"/>
  <c r="N44" i="81"/>
  <c r="B11" i="79" s="1"/>
  <c r="G6" i="81"/>
  <c r="E147" i="85" s="1"/>
  <c r="E145" i="85" s="1"/>
  <c r="J19" i="48"/>
  <c r="A19" i="48"/>
  <c r="H19" i="48"/>
  <c r="E98" i="85"/>
  <c r="C98" i="85" s="1"/>
  <c r="Y18" i="81"/>
  <c r="AD18" i="81" s="1"/>
  <c r="P13" i="44"/>
  <c r="P18" i="44" s="1"/>
  <c r="P17" i="44"/>
  <c r="K18" i="81" s="1"/>
  <c r="O18" i="81" s="1"/>
  <c r="G97" i="85" s="1"/>
  <c r="G95" i="85" s="1"/>
  <c r="E96" i="85"/>
  <c r="D17" i="81"/>
  <c r="J18" i="62"/>
  <c r="Z17" i="81"/>
  <c r="A18" i="62"/>
  <c r="P21" i="73"/>
  <c r="K16" i="81" s="1"/>
  <c r="O16" i="81" s="1"/>
  <c r="F22" i="73"/>
  <c r="Z16" i="81"/>
  <c r="I16" i="81"/>
  <c r="E93" i="85" s="1"/>
  <c r="P16" i="73"/>
  <c r="V16" i="81"/>
  <c r="H22" i="73"/>
  <c r="U15" i="81"/>
  <c r="I15" i="81"/>
  <c r="O14" i="83"/>
  <c r="H19" i="47"/>
  <c r="X14" i="81"/>
  <c r="Z13" i="81"/>
  <c r="M44" i="81"/>
  <c r="C11" i="79" s="1"/>
  <c r="G53" i="45"/>
  <c r="Y13" i="81"/>
  <c r="AD13" i="81" s="1"/>
  <c r="D13" i="81"/>
  <c r="H13" i="81" s="1"/>
  <c r="X13" i="81" s="1"/>
  <c r="A53" i="45"/>
  <c r="F53" i="45"/>
  <c r="D37" i="82" s="1"/>
  <c r="Q42" i="45"/>
  <c r="A19" i="67"/>
  <c r="C33" i="89" s="1"/>
  <c r="J19" i="67"/>
  <c r="Q44" i="81"/>
  <c r="C153" i="85"/>
  <c r="V12" i="81"/>
  <c r="Y12" i="81"/>
  <c r="AD12" i="81" s="1"/>
  <c r="G19" i="7"/>
  <c r="K42" i="81"/>
  <c r="O42" i="81" s="1"/>
  <c r="P19" i="7"/>
  <c r="L42" i="81"/>
  <c r="P42" i="81" s="1"/>
  <c r="A19" i="7"/>
  <c r="S42" i="81"/>
  <c r="D31" i="82" s="1"/>
  <c r="H19" i="7"/>
  <c r="Z42" i="81"/>
  <c r="Y42" i="81"/>
  <c r="C31" i="89"/>
  <c r="P14" i="43"/>
  <c r="J19" i="43"/>
  <c r="L41" i="81"/>
  <c r="P41" i="81" s="1"/>
  <c r="C41" i="81"/>
  <c r="S41" i="81" s="1"/>
  <c r="AB41" i="81" s="1"/>
  <c r="P19" i="43"/>
  <c r="D31" i="89"/>
  <c r="F19" i="43"/>
  <c r="V41" i="81"/>
  <c r="K38" i="42"/>
  <c r="V40" i="81"/>
  <c r="D40" i="81"/>
  <c r="T40" i="81" s="1"/>
  <c r="C30" i="82" s="1"/>
  <c r="P25" i="42"/>
  <c r="C40" i="81" s="1"/>
  <c r="K25" i="8"/>
  <c r="C106" i="85"/>
  <c r="E108" i="85"/>
  <c r="C108" i="85" s="1"/>
  <c r="Y39" i="81"/>
  <c r="AD39" i="81" s="1"/>
  <c r="A25" i="8"/>
  <c r="H25" i="8"/>
  <c r="F25" i="8"/>
  <c r="L25" i="8"/>
  <c r="F29" i="89"/>
  <c r="Z39" i="81"/>
  <c r="U39" i="81"/>
  <c r="G19" i="11"/>
  <c r="L19" i="11"/>
  <c r="Z38" i="81"/>
  <c r="T38" i="81"/>
  <c r="C28" i="82" s="1"/>
  <c r="H38" i="81"/>
  <c r="X38" i="81" s="1"/>
  <c r="L36" i="81"/>
  <c r="P36" i="81" s="1"/>
  <c r="H55" i="15"/>
  <c r="D26" i="89"/>
  <c r="P22" i="15"/>
  <c r="C35" i="81"/>
  <c r="S35" i="81" s="1"/>
  <c r="AC35" i="81" s="1"/>
  <c r="P34" i="16"/>
  <c r="G34" i="16"/>
  <c r="J34" i="16"/>
  <c r="T34" i="81"/>
  <c r="C23" i="82" s="1"/>
  <c r="L22" i="17"/>
  <c r="K22" i="17"/>
  <c r="F43" i="35"/>
  <c r="Z33" i="81"/>
  <c r="A34" i="18"/>
  <c r="V31" i="81"/>
  <c r="P34" i="18"/>
  <c r="C31" i="81"/>
  <c r="S31" i="81" s="1"/>
  <c r="D21" i="82" s="1"/>
  <c r="K34" i="18"/>
  <c r="T31" i="81"/>
  <c r="C21" i="82" s="1"/>
  <c r="T30" i="81"/>
  <c r="C20" i="82" s="1"/>
  <c r="K39" i="20"/>
  <c r="H39" i="20"/>
  <c r="O30" i="81"/>
  <c r="G57" i="85" s="1"/>
  <c r="G55" i="85" s="1"/>
  <c r="Q30" i="81"/>
  <c r="G58" i="85" s="1"/>
  <c r="C58" i="85" s="1"/>
  <c r="J39" i="20"/>
  <c r="F39" i="20"/>
  <c r="P21" i="20"/>
  <c r="O29" i="81"/>
  <c r="G52" i="85" s="1"/>
  <c r="P29" i="81"/>
  <c r="V29" i="81"/>
  <c r="G50" i="85"/>
  <c r="Z29" i="81"/>
  <c r="K25" i="21"/>
  <c r="C20" i="89"/>
  <c r="C53" i="85"/>
  <c r="H29" i="81"/>
  <c r="Y29" i="81"/>
  <c r="AD29" i="81" s="1"/>
  <c r="V28" i="81"/>
  <c r="H36" i="22"/>
  <c r="L36" i="22"/>
  <c r="H28" i="81"/>
  <c r="K36" i="22"/>
  <c r="Z28" i="81"/>
  <c r="C28" i="81"/>
  <c r="S28" i="81" s="1"/>
  <c r="G36" i="22"/>
  <c r="L20" i="23"/>
  <c r="P19" i="23"/>
  <c r="K27" i="81" s="1"/>
  <c r="G20" i="23"/>
  <c r="A20" i="23"/>
  <c r="E18" i="89"/>
  <c r="F24" i="80"/>
  <c r="P15" i="23"/>
  <c r="G26" i="81"/>
  <c r="Z26" i="81"/>
  <c r="I26" i="81"/>
  <c r="E38" i="85" s="1"/>
  <c r="G33" i="24"/>
  <c r="J33" i="24"/>
  <c r="H33" i="24"/>
  <c r="C38" i="85"/>
  <c r="C36" i="85"/>
  <c r="J33" i="4"/>
  <c r="F16" i="89"/>
  <c r="M25" i="81"/>
  <c r="G31" i="85" s="1"/>
  <c r="C31" i="85" s="1"/>
  <c r="A33" i="4"/>
  <c r="D25" i="81"/>
  <c r="T25" i="81" s="1"/>
  <c r="C15" i="82" s="1"/>
  <c r="J24" i="80"/>
  <c r="P32" i="4"/>
  <c r="K25" i="81" s="1"/>
  <c r="O25" i="81" s="1"/>
  <c r="G32" i="85" s="1"/>
  <c r="G30" i="85" s="1"/>
  <c r="P25" i="81"/>
  <c r="K20" i="25"/>
  <c r="U24" i="81"/>
  <c r="P24" i="81"/>
  <c r="S24" i="81"/>
  <c r="AA24" i="81" s="1"/>
  <c r="O24" i="81"/>
  <c r="G27" i="85" s="1"/>
  <c r="G25" i="85" s="1"/>
  <c r="E26" i="85"/>
  <c r="C26" i="85" s="1"/>
  <c r="D24" i="81"/>
  <c r="H24" i="81" s="1"/>
  <c r="X24" i="81" s="1"/>
  <c r="A20" i="25"/>
  <c r="H20" i="25"/>
  <c r="V24" i="81"/>
  <c r="T24" i="81"/>
  <c r="C14" i="82" s="1"/>
  <c r="E20" i="85"/>
  <c r="K22" i="14"/>
  <c r="E23" i="85"/>
  <c r="C23" i="85" s="1"/>
  <c r="H23" i="81"/>
  <c r="H25" i="9"/>
  <c r="F13" i="89"/>
  <c r="G16" i="85"/>
  <c r="U22" i="81"/>
  <c r="K25" i="9"/>
  <c r="L22" i="81"/>
  <c r="P22" i="81" s="1"/>
  <c r="P24" i="9"/>
  <c r="K22" i="81" s="1"/>
  <c r="S22" i="81" s="1"/>
  <c r="J25" i="9"/>
  <c r="Z22" i="81"/>
  <c r="Y22" i="81"/>
  <c r="AD22" i="81" s="1"/>
  <c r="V22" i="81"/>
  <c r="P21" i="81"/>
  <c r="Z21" i="81"/>
  <c r="V21" i="81"/>
  <c r="H21" i="81"/>
  <c r="T21" i="81"/>
  <c r="C11" i="82" s="1"/>
  <c r="F44" i="81"/>
  <c r="B10" i="79" s="1"/>
  <c r="P22" i="19"/>
  <c r="D20" i="81"/>
  <c r="T20" i="81" s="1"/>
  <c r="C10" i="82" s="1"/>
  <c r="F22" i="19"/>
  <c r="V20" i="81"/>
  <c r="S20" i="81"/>
  <c r="AC20" i="81" s="1"/>
  <c r="D11" i="89"/>
  <c r="AC24" i="81"/>
  <c r="E15" i="85"/>
  <c r="AA35" i="81"/>
  <c r="D24" i="82"/>
  <c r="Z5" i="81"/>
  <c r="R44" i="81"/>
  <c r="P6" i="81"/>
  <c r="X6" i="81" s="1"/>
  <c r="Z15" i="81"/>
  <c r="J44" i="81"/>
  <c r="C45" i="89"/>
  <c r="A25" i="26"/>
  <c r="D10" i="81"/>
  <c r="E17" i="89"/>
  <c r="L26" i="81"/>
  <c r="J25" i="80"/>
  <c r="E19" i="89"/>
  <c r="A36" i="22"/>
  <c r="D33" i="81"/>
  <c r="A43" i="35"/>
  <c r="C23" i="89"/>
  <c r="A55" i="15"/>
  <c r="D36" i="81"/>
  <c r="C26" i="89"/>
  <c r="F28" i="89"/>
  <c r="P18" i="11"/>
  <c r="F19" i="11"/>
  <c r="F25" i="80"/>
  <c r="F30" i="89"/>
  <c r="F38" i="42"/>
  <c r="P37" i="42"/>
  <c r="D33" i="89"/>
  <c r="P14" i="67"/>
  <c r="F19" i="67"/>
  <c r="C96" i="85"/>
  <c r="H22" i="81"/>
  <c r="G147" i="85"/>
  <c r="M23" i="81"/>
  <c r="J22" i="14"/>
  <c r="G33" i="4"/>
  <c r="P24" i="4"/>
  <c r="V30" i="81"/>
  <c r="H30" i="81"/>
  <c r="X30" i="81" s="1"/>
  <c r="P20" i="81"/>
  <c r="U26" i="81"/>
  <c r="L28" i="81"/>
  <c r="P28" i="81" s="1"/>
  <c r="X28" i="81" s="1"/>
  <c r="P39" i="81"/>
  <c r="T39" i="81"/>
  <c r="C29" i="82" s="1"/>
  <c r="U13" i="81"/>
  <c r="E126" i="85"/>
  <c r="K26" i="81"/>
  <c r="P33" i="24"/>
  <c r="E166" i="85"/>
  <c r="C166" i="85" s="1"/>
  <c r="U7" i="81"/>
  <c r="G7" i="81"/>
  <c r="K7" i="81"/>
  <c r="O21" i="69"/>
  <c r="C33" i="81"/>
  <c r="S33" i="81" s="1"/>
  <c r="P58" i="35"/>
  <c r="AA41" i="81"/>
  <c r="W6" i="81"/>
  <c r="G34" i="81"/>
  <c r="E77" i="85" s="1"/>
  <c r="E75" i="85" s="1"/>
  <c r="C18" i="85"/>
  <c r="E131" i="85"/>
  <c r="U17" i="81"/>
  <c r="U12" i="81"/>
  <c r="E151" i="85"/>
  <c r="E37" i="85"/>
  <c r="AD32" i="81"/>
  <c r="P20" i="25"/>
  <c r="C128" i="85"/>
  <c r="H31" i="81"/>
  <c r="X31" i="81" s="1"/>
  <c r="S5" i="81"/>
  <c r="H5" i="81"/>
  <c r="K17" i="81"/>
  <c r="O18" i="62"/>
  <c r="D43" i="78"/>
  <c r="D60" i="85"/>
  <c r="E5" i="81"/>
  <c r="G5" i="81" s="1"/>
  <c r="J22" i="80"/>
  <c r="P18" i="21"/>
  <c r="G25" i="21"/>
  <c r="K18" i="62"/>
  <c r="I17" i="81"/>
  <c r="O18" i="83"/>
  <c r="K15" i="81" s="1"/>
  <c r="O15" i="81" s="1"/>
  <c r="G177" i="85" s="1"/>
  <c r="G175" i="85" s="1"/>
  <c r="F19" i="83"/>
  <c r="I9" i="81"/>
  <c r="K18" i="87"/>
  <c r="G24" i="81"/>
  <c r="E27" i="85" s="1"/>
  <c r="X35" i="81"/>
  <c r="A5" i="91"/>
  <c r="O37" i="81"/>
  <c r="C15" i="81"/>
  <c r="C18" i="81"/>
  <c r="G17" i="81"/>
  <c r="X8" i="81"/>
  <c r="D145" i="85"/>
  <c r="H90" i="85"/>
  <c r="D90" i="85" s="1"/>
  <c r="I5" i="85" s="1"/>
  <c r="D92" i="85"/>
  <c r="G22" i="80"/>
  <c r="G18" i="5"/>
  <c r="P13" i="5"/>
  <c r="C8" i="81"/>
  <c r="E66" i="85"/>
  <c r="U32" i="81"/>
  <c r="G65" i="85"/>
  <c r="C39" i="89"/>
  <c r="D18" i="81"/>
  <c r="A18" i="44"/>
  <c r="X19" i="81"/>
  <c r="P27" i="81"/>
  <c r="T27" i="81"/>
  <c r="C17" i="82" s="1"/>
  <c r="C32" i="81"/>
  <c r="M16" i="77"/>
  <c r="D45" i="85"/>
  <c r="D160" i="85"/>
  <c r="F125" i="85"/>
  <c r="D125" i="85" s="1"/>
  <c r="D126" i="85"/>
  <c r="I6" i="85"/>
  <c r="K6" i="85" s="1"/>
  <c r="K5" i="85" s="1"/>
  <c r="P21" i="17"/>
  <c r="G22" i="17"/>
  <c r="L19" i="67"/>
  <c r="I11" i="81"/>
  <c r="K18" i="71"/>
  <c r="G155" i="85"/>
  <c r="C171" i="85"/>
  <c r="G63" i="85"/>
  <c r="C63" i="85" s="1"/>
  <c r="Y31" i="81"/>
  <c r="E31" i="81"/>
  <c r="J34" i="18"/>
  <c r="I38" i="81"/>
  <c r="E103" i="85" s="1"/>
  <c r="C103" i="85" s="1"/>
  <c r="K19" i="11"/>
  <c r="U41" i="81"/>
  <c r="E121" i="85"/>
  <c r="J19" i="7"/>
  <c r="E42" i="81"/>
  <c r="T16" i="81"/>
  <c r="C26" i="82" s="1"/>
  <c r="D177" i="85"/>
  <c r="H125" i="85"/>
  <c r="M27" i="81"/>
  <c r="U27" i="81" s="1"/>
  <c r="J20" i="23"/>
  <c r="I28" i="81"/>
  <c r="L25" i="21"/>
  <c r="G18" i="70"/>
  <c r="K19" i="48"/>
  <c r="O10" i="81"/>
  <c r="G162" i="85" s="1"/>
  <c r="G160" i="85" s="1"/>
  <c r="G21" i="69"/>
  <c r="P23" i="36"/>
  <c r="K8" i="81" s="1"/>
  <c r="O8" i="81" s="1"/>
  <c r="G172" i="85" s="1"/>
  <c r="G170" i="85" s="1"/>
  <c r="V25" i="81"/>
  <c r="G40" i="81"/>
  <c r="E112" i="85" s="1"/>
  <c r="T15" i="81"/>
  <c r="C44" i="82" s="1"/>
  <c r="H15" i="81"/>
  <c r="X15" i="81" s="1"/>
  <c r="J25" i="21"/>
  <c r="E29" i="81"/>
  <c r="P17" i="26"/>
  <c r="G25" i="26"/>
  <c r="E189" i="85" s="1"/>
  <c r="V14" i="81"/>
  <c r="V26" i="81"/>
  <c r="H27" i="81"/>
  <c r="V27" i="81"/>
  <c r="L33" i="4"/>
  <c r="I19" i="81"/>
  <c r="K18" i="70"/>
  <c r="Z7" i="81"/>
  <c r="V19" i="81"/>
  <c r="Z25" i="81"/>
  <c r="Z27" i="81"/>
  <c r="A19" i="83"/>
  <c r="C36" i="89"/>
  <c r="G34" i="18"/>
  <c r="D18" i="89"/>
  <c r="F20" i="23"/>
  <c r="A33" i="24"/>
  <c r="P21" i="14"/>
  <c r="L39" i="20"/>
  <c r="F18" i="87"/>
  <c r="P12" i="81"/>
  <c r="X12" i="81" s="1"/>
  <c r="C27" i="89"/>
  <c r="D37" i="81"/>
  <c r="H37" i="81" s="1"/>
  <c r="P23" i="81"/>
  <c r="X23" i="81" s="1"/>
  <c r="T12" i="81"/>
  <c r="C38" i="82" s="1"/>
  <c r="F15" i="89"/>
  <c r="F20" i="25"/>
  <c r="J22" i="17"/>
  <c r="C118" i="85"/>
  <c r="H18" i="44"/>
  <c r="F19" i="47"/>
  <c r="P13" i="47"/>
  <c r="D35" i="89"/>
  <c r="K34" i="16"/>
  <c r="G91" i="85"/>
  <c r="U16" i="81"/>
  <c r="G93" i="85"/>
  <c r="J22" i="73"/>
  <c r="G143" i="85"/>
  <c r="C143" i="85" s="1"/>
  <c r="Y14" i="81"/>
  <c r="O14" i="81"/>
  <c r="U14" i="81"/>
  <c r="G141" i="85"/>
  <c r="K19" i="47"/>
  <c r="U40" i="81"/>
  <c r="G111" i="85"/>
  <c r="J38" i="42"/>
  <c r="E113" i="85"/>
  <c r="C113" i="85" s="1"/>
  <c r="Y40" i="81"/>
  <c r="G101" i="85"/>
  <c r="U38" i="81"/>
  <c r="J19" i="11"/>
  <c r="Y36" i="81"/>
  <c r="G88" i="85"/>
  <c r="C88" i="85" s="1"/>
  <c r="O36" i="81"/>
  <c r="G86" i="85"/>
  <c r="K55" i="15"/>
  <c r="O35" i="81"/>
  <c r="G81" i="85"/>
  <c r="U35" i="81"/>
  <c r="Q35" i="81"/>
  <c r="C76" i="85"/>
  <c r="G78" i="85"/>
  <c r="C78" i="85" s="1"/>
  <c r="Y34" i="81"/>
  <c r="U34" i="81"/>
  <c r="J58" i="35"/>
  <c r="E71" i="85"/>
  <c r="U33" i="81"/>
  <c r="Y33" i="81"/>
  <c r="E73" i="85"/>
  <c r="C73" i="85" s="1"/>
  <c r="C56" i="85"/>
  <c r="U30" i="81"/>
  <c r="O28" i="81"/>
  <c r="G46" i="85"/>
  <c r="U28" i="81"/>
  <c r="J36" i="22"/>
  <c r="G43" i="85"/>
  <c r="C43" i="85" s="1"/>
  <c r="Y27" i="81"/>
  <c r="K20" i="23"/>
  <c r="G33" i="85"/>
  <c r="Y24" i="81"/>
  <c r="E28" i="85"/>
  <c r="C28" i="85" s="1"/>
  <c r="J17" i="5"/>
  <c r="J18" i="5" s="1"/>
  <c r="L17" i="5"/>
  <c r="L18" i="5" s="1"/>
  <c r="O20" i="81"/>
  <c r="G7" i="85" s="1"/>
  <c r="G5" i="85" s="1"/>
  <c r="I20" i="81"/>
  <c r="K22" i="19"/>
  <c r="K18" i="5"/>
  <c r="Q21" i="81"/>
  <c r="U20" i="81"/>
  <c r="E6" i="85"/>
  <c r="G20" i="81"/>
  <c r="J22" i="19"/>
  <c r="C16" i="85" l="1"/>
  <c r="X42" i="81"/>
  <c r="K39" i="81"/>
  <c r="S39" i="81" s="1"/>
  <c r="X39" i="81"/>
  <c r="U36" i="81"/>
  <c r="C33" i="85"/>
  <c r="Y25" i="81"/>
  <c r="AD25" i="81" s="1"/>
  <c r="X21" i="81"/>
  <c r="C93" i="85"/>
  <c r="T13" i="81"/>
  <c r="C37" i="82" s="1"/>
  <c r="AD10" i="81"/>
  <c r="V44" i="81"/>
  <c r="Y7" i="81"/>
  <c r="I44" i="81"/>
  <c r="T35" i="81"/>
  <c r="C24" i="82" s="1"/>
  <c r="AA42" i="81"/>
  <c r="D32" i="82"/>
  <c r="AC41" i="81"/>
  <c r="G41" i="81"/>
  <c r="AA31" i="81"/>
  <c r="X29" i="81"/>
  <c r="Y26" i="81"/>
  <c r="AD26" i="81" s="1"/>
  <c r="H20" i="81"/>
  <c r="G35" i="81"/>
  <c r="E82" i="85" s="1"/>
  <c r="E80" i="85" s="1"/>
  <c r="O18" i="71"/>
  <c r="C11" i="81"/>
  <c r="B9" i="79"/>
  <c r="T6" i="81"/>
  <c r="O19" i="48"/>
  <c r="D36" i="82"/>
  <c r="AB6" i="81"/>
  <c r="AA6" i="81"/>
  <c r="AC6" i="81"/>
  <c r="T17" i="81"/>
  <c r="C33" i="82" s="1"/>
  <c r="H17" i="81"/>
  <c r="X17" i="81" s="1"/>
  <c r="Y16" i="81"/>
  <c r="AD16" i="81" s="1"/>
  <c r="C16" i="81"/>
  <c r="P22" i="73"/>
  <c r="O19" i="83"/>
  <c r="E178" i="85"/>
  <c r="C178" i="85" s="1"/>
  <c r="Y15" i="81"/>
  <c r="AD15" i="81" s="1"/>
  <c r="Q51" i="45"/>
  <c r="C13" i="81"/>
  <c r="AC42" i="81"/>
  <c r="T42" i="81"/>
  <c r="C31" i="82" s="1"/>
  <c r="AD42" i="81"/>
  <c r="AB42" i="81"/>
  <c r="T41" i="81"/>
  <c r="C32" i="82" s="1"/>
  <c r="H40" i="81"/>
  <c r="X40" i="81" s="1"/>
  <c r="D29" i="82"/>
  <c r="AA39" i="81"/>
  <c r="O39" i="81"/>
  <c r="G107" i="85" s="1"/>
  <c r="AB39" i="81"/>
  <c r="AC39" i="81"/>
  <c r="F47" i="89"/>
  <c r="E5" i="89" s="1"/>
  <c r="Y38" i="81"/>
  <c r="AD38" i="81" s="1"/>
  <c r="C36" i="81"/>
  <c r="P55" i="15"/>
  <c r="C47" i="89"/>
  <c r="D4" i="89" s="1"/>
  <c r="G33" i="81"/>
  <c r="E72" i="85" s="1"/>
  <c r="C72" i="85" s="1"/>
  <c r="AC31" i="81"/>
  <c r="Y30" i="81"/>
  <c r="P39" i="20"/>
  <c r="C30" i="81"/>
  <c r="T28" i="81"/>
  <c r="C18" i="82" s="1"/>
  <c r="G28" i="81"/>
  <c r="E47" i="85" s="1"/>
  <c r="E45" i="85" s="1"/>
  <c r="X27" i="81"/>
  <c r="O27" i="81"/>
  <c r="G41" i="85"/>
  <c r="C41" i="85" s="1"/>
  <c r="P20" i="23"/>
  <c r="C27" i="81"/>
  <c r="U25" i="81"/>
  <c r="H25" i="81"/>
  <c r="X25" i="81" s="1"/>
  <c r="D14" i="82"/>
  <c r="W24" i="81"/>
  <c r="T22" i="81"/>
  <c r="C12" i="82" s="1"/>
  <c r="O22" i="81"/>
  <c r="G17" i="85" s="1"/>
  <c r="G15" i="85" s="1"/>
  <c r="P25" i="9"/>
  <c r="X22" i="81"/>
  <c r="X20" i="81"/>
  <c r="D10" i="82"/>
  <c r="P19" i="47"/>
  <c r="C14" i="81"/>
  <c r="K23" i="81"/>
  <c r="P22" i="14"/>
  <c r="Y19" i="81"/>
  <c r="E138" i="85"/>
  <c r="C138" i="85" s="1"/>
  <c r="C139" i="85" s="1"/>
  <c r="U31" i="81"/>
  <c r="E61" i="85"/>
  <c r="E132" i="85"/>
  <c r="E130" i="85" s="1"/>
  <c r="E133" i="85"/>
  <c r="C133" i="85" s="1"/>
  <c r="Y17" i="81"/>
  <c r="E35" i="85"/>
  <c r="C131" i="85"/>
  <c r="W41" i="81"/>
  <c r="E122" i="85"/>
  <c r="C122" i="85" s="1"/>
  <c r="G145" i="85"/>
  <c r="C145" i="85" s="1"/>
  <c r="C149" i="85" s="1"/>
  <c r="C147" i="85"/>
  <c r="P19" i="67"/>
  <c r="C12" i="81"/>
  <c r="P25" i="26"/>
  <c r="C10" i="81"/>
  <c r="E116" i="85"/>
  <c r="U42" i="81"/>
  <c r="AB31" i="81"/>
  <c r="AD31" i="81"/>
  <c r="K34" i="81"/>
  <c r="P22" i="17"/>
  <c r="T18" i="81"/>
  <c r="C27" i="82" s="1"/>
  <c r="H18" i="81"/>
  <c r="X18" i="81" s="1"/>
  <c r="C66" i="85"/>
  <c r="P18" i="5"/>
  <c r="C21" i="81"/>
  <c r="G18" i="81"/>
  <c r="S18" i="81"/>
  <c r="S15" i="81"/>
  <c r="G15" i="81"/>
  <c r="U5" i="81"/>
  <c r="E44" i="81"/>
  <c r="C10" i="79" s="1"/>
  <c r="C9" i="79" s="1"/>
  <c r="S17" i="81"/>
  <c r="O17" i="81"/>
  <c r="G132" i="85" s="1"/>
  <c r="G130" i="85" s="1"/>
  <c r="C151" i="85"/>
  <c r="AA28" i="81"/>
  <c r="AC28" i="81"/>
  <c r="D18" i="82"/>
  <c r="AC33" i="81"/>
  <c r="AA33" i="81"/>
  <c r="D22" i="82"/>
  <c r="O7" i="81"/>
  <c r="W7" i="81" s="1"/>
  <c r="S7" i="81"/>
  <c r="K44" i="81"/>
  <c r="D5" i="82" s="1"/>
  <c r="H10" i="81"/>
  <c r="X10" i="81" s="1"/>
  <c r="X44" i="81" s="1"/>
  <c r="T10" i="81"/>
  <c r="C39" i="82" s="1"/>
  <c r="D44" i="81"/>
  <c r="C4" i="82" s="1"/>
  <c r="Z44" i="81"/>
  <c r="B15" i="79" s="1"/>
  <c r="E51" i="85"/>
  <c r="U29" i="81"/>
  <c r="E158" i="85"/>
  <c r="C158" i="85" s="1"/>
  <c r="Y11" i="81"/>
  <c r="G32" i="81"/>
  <c r="S32" i="81"/>
  <c r="G31" i="81"/>
  <c r="G8" i="81"/>
  <c r="S8" i="81"/>
  <c r="E167" i="85"/>
  <c r="S26" i="81"/>
  <c r="O26" i="81"/>
  <c r="AC22" i="81"/>
  <c r="AB22" i="81"/>
  <c r="F12" i="84" s="1"/>
  <c r="AA22" i="81"/>
  <c r="D12" i="82"/>
  <c r="G21" i="85"/>
  <c r="U23" i="81"/>
  <c r="P38" i="42"/>
  <c r="K40" i="81"/>
  <c r="H36" i="81"/>
  <c r="X36" i="81" s="1"/>
  <c r="T36" i="81"/>
  <c r="C25" i="82" s="1"/>
  <c r="H33" i="81"/>
  <c r="X33" i="81" s="1"/>
  <c r="T33" i="81"/>
  <c r="C22" i="82" s="1"/>
  <c r="T26" i="81"/>
  <c r="C16" i="82" s="1"/>
  <c r="P26" i="81"/>
  <c r="X26" i="81" s="1"/>
  <c r="L44" i="81"/>
  <c r="C5" i="82" s="1"/>
  <c r="C36" i="82"/>
  <c r="G42" i="81"/>
  <c r="E117" i="85" s="1"/>
  <c r="C15" i="85"/>
  <c r="C19" i="85" s="1"/>
  <c r="D47" i="89"/>
  <c r="E4" i="89" s="1"/>
  <c r="E48" i="85"/>
  <c r="C48" i="85" s="1"/>
  <c r="Y28" i="81"/>
  <c r="C121" i="85"/>
  <c r="P24" i="36"/>
  <c r="C29" i="81"/>
  <c r="P25" i="21"/>
  <c r="W5" i="81"/>
  <c r="AC5" i="81"/>
  <c r="D9" i="82"/>
  <c r="C17" i="85"/>
  <c r="U44" i="81"/>
  <c r="C126" i="85"/>
  <c r="P33" i="4"/>
  <c r="C25" i="81"/>
  <c r="K38" i="81"/>
  <c r="P19" i="11"/>
  <c r="E47" i="89"/>
  <c r="D5" i="89" s="1"/>
  <c r="P44" i="81"/>
  <c r="B14" i="79" s="1"/>
  <c r="AB7" i="81"/>
  <c r="AD7" i="81"/>
  <c r="Y44" i="81"/>
  <c r="C91" i="85"/>
  <c r="G92" i="85"/>
  <c r="AD14" i="81"/>
  <c r="G142" i="85"/>
  <c r="C141" i="85"/>
  <c r="G117" i="85"/>
  <c r="C111" i="85"/>
  <c r="E110" i="85"/>
  <c r="AD40" i="81"/>
  <c r="C101" i="85"/>
  <c r="G87" i="85"/>
  <c r="C86" i="85"/>
  <c r="AD36" i="81"/>
  <c r="Y35" i="81"/>
  <c r="G83" i="85"/>
  <c r="C83" i="85" s="1"/>
  <c r="C81" i="85"/>
  <c r="W35" i="81"/>
  <c r="G82" i="85"/>
  <c r="C82" i="85" s="1"/>
  <c r="AD34" i="81"/>
  <c r="AB33" i="81"/>
  <c r="AD33" i="81"/>
  <c r="C71" i="85"/>
  <c r="AD30" i="81"/>
  <c r="C46" i="85"/>
  <c r="G47" i="85"/>
  <c r="C47" i="85" s="1"/>
  <c r="G42" i="85"/>
  <c r="AD27" i="81"/>
  <c r="E25" i="85"/>
  <c r="C25" i="85" s="1"/>
  <c r="C29" i="85" s="1"/>
  <c r="C27" i="85"/>
  <c r="AD24" i="81"/>
  <c r="AB24" i="81"/>
  <c r="M21" i="81"/>
  <c r="U21" i="81" s="1"/>
  <c r="E8" i="85"/>
  <c r="C8" i="85" s="1"/>
  <c r="Y20" i="81"/>
  <c r="Y21" i="81"/>
  <c r="G13" i="85"/>
  <c r="C13" i="85" s="1"/>
  <c r="C6" i="85"/>
  <c r="W20" i="81"/>
  <c r="E7" i="85"/>
  <c r="C7" i="85" s="1"/>
  <c r="W33" i="81" l="1"/>
  <c r="E120" i="85"/>
  <c r="C120" i="85" s="1"/>
  <c r="C124" i="85" s="1"/>
  <c r="W22" i="81"/>
  <c r="W39" i="81"/>
  <c r="S11" i="81"/>
  <c r="G11" i="81"/>
  <c r="G16" i="81"/>
  <c r="S16" i="81"/>
  <c r="S13" i="81"/>
  <c r="G13" i="81"/>
  <c r="W42" i="81"/>
  <c r="G105" i="85"/>
  <c r="C105" i="85" s="1"/>
  <c r="C109" i="85" s="1"/>
  <c r="C107" i="85"/>
  <c r="E6" i="89"/>
  <c r="G36" i="81"/>
  <c r="S36" i="81"/>
  <c r="D6" i="89"/>
  <c r="T44" i="81"/>
  <c r="C46" i="82"/>
  <c r="G30" i="81"/>
  <c r="S30" i="81"/>
  <c r="W28" i="81"/>
  <c r="G40" i="85"/>
  <c r="G27" i="81"/>
  <c r="S27" i="81"/>
  <c r="G85" i="85"/>
  <c r="S40" i="81"/>
  <c r="O40" i="81"/>
  <c r="C21" i="85"/>
  <c r="E165" i="85"/>
  <c r="W8" i="81"/>
  <c r="E172" i="85"/>
  <c r="AD11" i="81"/>
  <c r="AB11" i="81"/>
  <c r="G167" i="85"/>
  <c r="G165" i="85" s="1"/>
  <c r="O44" i="81"/>
  <c r="C14" i="79" s="1"/>
  <c r="D27" i="82"/>
  <c r="AB18" i="81"/>
  <c r="AC18" i="81"/>
  <c r="AA18" i="81"/>
  <c r="C130" i="85"/>
  <c r="W17" i="81"/>
  <c r="AD19" i="81"/>
  <c r="AB19" i="81"/>
  <c r="S38" i="81"/>
  <c r="O38" i="81"/>
  <c r="S29" i="81"/>
  <c r="G29" i="81"/>
  <c r="AB28" i="81"/>
  <c r="AD28" i="81"/>
  <c r="G37" i="85"/>
  <c r="W26" i="81"/>
  <c r="H44" i="81"/>
  <c r="B13" i="79" s="1"/>
  <c r="B12" i="79" s="1"/>
  <c r="B8" i="79" s="1"/>
  <c r="E62" i="85"/>
  <c r="C62" i="85" s="1"/>
  <c r="W31" i="81"/>
  <c r="E97" i="85"/>
  <c r="W18" i="81"/>
  <c r="O34" i="81"/>
  <c r="S34" i="81"/>
  <c r="E115" i="85"/>
  <c r="C116" i="85"/>
  <c r="S12" i="81"/>
  <c r="G12" i="81"/>
  <c r="AB17" i="81"/>
  <c r="AD17" i="81"/>
  <c r="E60" i="85"/>
  <c r="C60" i="85" s="1"/>
  <c r="C64" i="85" s="1"/>
  <c r="C61" i="85"/>
  <c r="G80" i="85"/>
  <c r="C80" i="85" s="1"/>
  <c r="G25" i="81"/>
  <c r="S25" i="81"/>
  <c r="D16" i="82"/>
  <c r="AC26" i="81"/>
  <c r="AB26" i="81"/>
  <c r="AA26" i="81"/>
  <c r="D42" i="82"/>
  <c r="AB8" i="81"/>
  <c r="AA8" i="81"/>
  <c r="AC8" i="81"/>
  <c r="D43" i="82"/>
  <c r="AC32" i="81"/>
  <c r="AA32" i="81"/>
  <c r="AB32" i="81"/>
  <c r="C6" i="82"/>
  <c r="E177" i="85"/>
  <c r="W15" i="81"/>
  <c r="G21" i="81"/>
  <c r="E12" i="85" s="1"/>
  <c r="E10" i="85" s="1"/>
  <c r="S21" i="81"/>
  <c r="AB21" i="81" s="1"/>
  <c r="S10" i="81"/>
  <c r="G10" i="81"/>
  <c r="C134" i="85"/>
  <c r="O23" i="81"/>
  <c r="S23" i="81"/>
  <c r="C44" i="81"/>
  <c r="D4" i="82" s="1"/>
  <c r="D6" i="82" s="1"/>
  <c r="E67" i="85"/>
  <c r="W32" i="81"/>
  <c r="C51" i="85"/>
  <c r="AA7" i="81"/>
  <c r="AC7" i="81"/>
  <c r="D41" i="82"/>
  <c r="D33" i="82"/>
  <c r="AC17" i="81"/>
  <c r="AA17" i="81"/>
  <c r="AC15" i="81"/>
  <c r="AA15" i="81"/>
  <c r="AB15" i="81"/>
  <c r="D44" i="82"/>
  <c r="C132" i="85"/>
  <c r="S14" i="81"/>
  <c r="G14" i="81"/>
  <c r="G44" i="81" s="1"/>
  <c r="C13" i="79" s="1"/>
  <c r="C15" i="79"/>
  <c r="F4" i="84"/>
  <c r="I4" i="84" s="1"/>
  <c r="G90" i="85"/>
  <c r="G140" i="85"/>
  <c r="C117" i="85"/>
  <c r="G115" i="85"/>
  <c r="C84" i="85"/>
  <c r="AD35" i="81"/>
  <c r="AB35" i="81"/>
  <c r="E70" i="85"/>
  <c r="C70" i="85" s="1"/>
  <c r="C74" i="85" s="1"/>
  <c r="G45" i="85"/>
  <c r="C45" i="85" s="1"/>
  <c r="C49" i="85" s="1"/>
  <c r="G11" i="85"/>
  <c r="C11" i="85" s="1"/>
  <c r="O21" i="81"/>
  <c r="W21" i="81" s="1"/>
  <c r="E5" i="85"/>
  <c r="C5" i="85" s="1"/>
  <c r="AD21" i="81"/>
  <c r="G12" i="85"/>
  <c r="C12" i="85" s="1"/>
  <c r="AD20" i="81"/>
  <c r="AB20" i="81"/>
  <c r="C115" i="85" l="1"/>
  <c r="C119" i="85" s="1"/>
  <c r="C165" i="85"/>
  <c r="C169" i="85" s="1"/>
  <c r="E157" i="85"/>
  <c r="W11" i="81"/>
  <c r="D40" i="82"/>
  <c r="AA11" i="81"/>
  <c r="AC11" i="81"/>
  <c r="AC16" i="81"/>
  <c r="D26" i="82"/>
  <c r="AA16" i="81"/>
  <c r="AB16" i="81"/>
  <c r="E92" i="85"/>
  <c r="W16" i="81"/>
  <c r="E127" i="85"/>
  <c r="W13" i="81"/>
  <c r="AA13" i="81"/>
  <c r="AC13" i="81"/>
  <c r="AB13" i="81"/>
  <c r="F15" i="84" s="1"/>
  <c r="AA36" i="81"/>
  <c r="AC36" i="81"/>
  <c r="D25" i="82"/>
  <c r="AB36" i="81"/>
  <c r="E87" i="85"/>
  <c r="W36" i="81"/>
  <c r="C48" i="82"/>
  <c r="AA30" i="81"/>
  <c r="D20" i="82"/>
  <c r="AC30" i="81"/>
  <c r="AB30" i="81"/>
  <c r="E57" i="85"/>
  <c r="W30" i="81"/>
  <c r="D17" i="82"/>
  <c r="AC27" i="81"/>
  <c r="AA27" i="81"/>
  <c r="AB27" i="81"/>
  <c r="E42" i="85"/>
  <c r="W27" i="81"/>
  <c r="C12" i="79"/>
  <c r="D13" i="79" s="1"/>
  <c r="D39" i="82"/>
  <c r="AA10" i="81"/>
  <c r="AC10" i="81"/>
  <c r="AB10" i="81"/>
  <c r="S44" i="81"/>
  <c r="AB44" i="81" s="1"/>
  <c r="C177" i="85"/>
  <c r="E175" i="85"/>
  <c r="C175" i="85" s="1"/>
  <c r="C179" i="85" s="1"/>
  <c r="C97" i="85"/>
  <c r="E95" i="85"/>
  <c r="C95" i="85" s="1"/>
  <c r="C99" i="85" s="1"/>
  <c r="E52" i="85"/>
  <c r="W29" i="81"/>
  <c r="AC38" i="81"/>
  <c r="AA38" i="81"/>
  <c r="D28" i="82"/>
  <c r="AB38" i="81"/>
  <c r="AC40" i="81"/>
  <c r="D30" i="82"/>
  <c r="AA40" i="81"/>
  <c r="AB40" i="81"/>
  <c r="D35" i="82"/>
  <c r="AA14" i="81"/>
  <c r="AC14" i="81"/>
  <c r="AB14" i="81"/>
  <c r="G22" i="85"/>
  <c r="W23" i="81"/>
  <c r="AC21" i="81"/>
  <c r="D11" i="82"/>
  <c r="E152" i="85"/>
  <c r="W12" i="81"/>
  <c r="AC34" i="81"/>
  <c r="D23" i="82"/>
  <c r="AA34" i="81"/>
  <c r="AB34" i="81"/>
  <c r="G35" i="85"/>
  <c r="C35" i="85" s="1"/>
  <c r="C39" i="85" s="1"/>
  <c r="C37" i="85"/>
  <c r="AB29" i="81"/>
  <c r="F14" i="84" s="1"/>
  <c r="AC29" i="81"/>
  <c r="D19" i="82"/>
  <c r="AA29" i="81"/>
  <c r="C172" i="85"/>
  <c r="E170" i="85"/>
  <c r="C170" i="85" s="1"/>
  <c r="C174" i="85" s="1"/>
  <c r="D15" i="82"/>
  <c r="AA25" i="81"/>
  <c r="AC25" i="81"/>
  <c r="AB25" i="81"/>
  <c r="D38" i="82"/>
  <c r="AA12" i="81"/>
  <c r="AC12" i="81"/>
  <c r="AB12" i="81"/>
  <c r="W34" i="81"/>
  <c r="G77" i="85"/>
  <c r="E142" i="85"/>
  <c r="W14" i="81"/>
  <c r="C67" i="85"/>
  <c r="E65" i="85"/>
  <c r="C65" i="85" s="1"/>
  <c r="C69" i="85" s="1"/>
  <c r="D13" i="82"/>
  <c r="AC23" i="81"/>
  <c r="AA23" i="81"/>
  <c r="AB23" i="81"/>
  <c r="F13" i="84" s="1"/>
  <c r="E162" i="85"/>
  <c r="W10" i="81"/>
  <c r="W44" i="81" s="1"/>
  <c r="E32" i="85"/>
  <c r="W25" i="81"/>
  <c r="G102" i="85"/>
  <c r="W38" i="81"/>
  <c r="C167" i="85"/>
  <c r="G112" i="85"/>
  <c r="W40" i="81"/>
  <c r="G10" i="85"/>
  <c r="C10" i="85" s="1"/>
  <c r="C14" i="85" s="1"/>
  <c r="C9" i="85"/>
  <c r="E155" i="85" l="1"/>
  <c r="C155" i="85" s="1"/>
  <c r="C159" i="85" s="1"/>
  <c r="C157" i="85"/>
  <c r="E90" i="85"/>
  <c r="C90" i="85" s="1"/>
  <c r="C94" i="85" s="1"/>
  <c r="C92" i="85"/>
  <c r="C127" i="85"/>
  <c r="E125" i="85"/>
  <c r="C125" i="85" s="1"/>
  <c r="C129" i="85" s="1"/>
  <c r="E85" i="85"/>
  <c r="C85" i="85" s="1"/>
  <c r="C89" i="85" s="1"/>
  <c r="C87" i="85"/>
  <c r="E55" i="85"/>
  <c r="C55" i="85" s="1"/>
  <c r="C59" i="85" s="1"/>
  <c r="C57" i="85"/>
  <c r="E40" i="85"/>
  <c r="C40" i="85" s="1"/>
  <c r="C44" i="85" s="1"/>
  <c r="C42" i="85"/>
  <c r="C162" i="85"/>
  <c r="E160" i="85"/>
  <c r="C160" i="85" s="1"/>
  <c r="C164" i="85" s="1"/>
  <c r="C52" i="85"/>
  <c r="E50" i="85"/>
  <c r="C50" i="85" s="1"/>
  <c r="C54" i="85" s="1"/>
  <c r="G110" i="85"/>
  <c r="C110" i="85" s="1"/>
  <c r="C114" i="85" s="1"/>
  <c r="C112" i="85"/>
  <c r="E30" i="85"/>
  <c r="C30" i="85" s="1"/>
  <c r="C34" i="85" s="1"/>
  <c r="C32" i="85"/>
  <c r="G75" i="85"/>
  <c r="C75" i="85" s="1"/>
  <c r="C79" i="85" s="1"/>
  <c r="C77" i="85"/>
  <c r="C152" i="85"/>
  <c r="E150" i="85"/>
  <c r="C150" i="85" s="1"/>
  <c r="C154" i="85" s="1"/>
  <c r="C22" i="85"/>
  <c r="G20" i="85"/>
  <c r="C20" i="85" s="1"/>
  <c r="C24" i="85" s="1"/>
  <c r="C102" i="85"/>
  <c r="G100" i="85"/>
  <c r="C100" i="85" s="1"/>
  <c r="C104" i="85" s="1"/>
  <c r="E140" i="85"/>
  <c r="C140" i="85" s="1"/>
  <c r="C144" i="85" s="1"/>
  <c r="C142" i="85"/>
  <c r="D46" i="82"/>
  <c r="D48" i="82" s="1"/>
  <c r="D14" i="79"/>
  <c r="C8" i="79"/>
  <c r="C189" i="85" l="1"/>
  <c r="G189" i="85" s="1"/>
  <c r="I189" i="85" s="1"/>
  <c r="D12" i="79"/>
  <c r="D15" i="79"/>
  <c r="D9" i="79"/>
  <c r="D8" i="79" l="1"/>
</calcChain>
</file>

<file path=xl/sharedStrings.xml><?xml version="1.0" encoding="utf-8"?>
<sst xmlns="http://schemas.openxmlformats.org/spreadsheetml/2006/main" count="3688" uniqueCount="817">
  <si>
    <t>บช.ตชด.</t>
  </si>
  <si>
    <t>ภ.9</t>
  </si>
  <si>
    <t>สทส.</t>
  </si>
  <si>
    <t>บาท</t>
  </si>
  <si>
    <t>สกบ.</t>
  </si>
  <si>
    <t>สพฐ.ตร.</t>
  </si>
  <si>
    <t>ภ.5</t>
  </si>
  <si>
    <t>ศชต.</t>
  </si>
  <si>
    <t>หน่วยรายงานสำนักงานตำรวจแห่งชาติ</t>
  </si>
  <si>
    <t>ภ.4</t>
  </si>
  <si>
    <t>ที่ดินและสิ่งก่อสร้าง</t>
  </si>
  <si>
    <t>บช.ส.</t>
  </si>
  <si>
    <t>ภ.1</t>
  </si>
  <si>
    <t>ภ.2</t>
  </si>
  <si>
    <t>บช.น.</t>
  </si>
  <si>
    <t>ภ.3</t>
  </si>
  <si>
    <t>บช.ก.</t>
  </si>
  <si>
    <t>สตม.</t>
  </si>
  <si>
    <t>เบิกจ่ายแล้ว</t>
  </si>
  <si>
    <t>ลำดับ</t>
  </si>
  <si>
    <t>หน่วยจัดหา</t>
  </si>
  <si>
    <t>หน่วยได้รับ</t>
  </si>
  <si>
    <t>บ.ตร.</t>
  </si>
  <si>
    <t>ภ.7</t>
  </si>
  <si>
    <t>ภ.8</t>
  </si>
  <si>
    <t>ทำสัญญาแล้ว</t>
  </si>
  <si>
    <t>จำนวนเงิน (หน่วย : บาท)</t>
  </si>
  <si>
    <t>ภ.6</t>
  </si>
  <si>
    <t>รพ.ตร.</t>
  </si>
  <si>
    <t>รายการ</t>
  </si>
  <si>
    <t>บช.ปส.</t>
  </si>
  <si>
    <t>สท.</t>
  </si>
  <si>
    <t>ตร.</t>
  </si>
  <si>
    <t>รวมที่ดินและสิ่งก่อสร้าง</t>
  </si>
  <si>
    <t>บช.ศ.</t>
  </si>
  <si>
    <t>รร.นรต.</t>
  </si>
  <si>
    <t>จต.</t>
  </si>
  <si>
    <t>ครุภัณฑ์</t>
  </si>
  <si>
    <t>สกพ.</t>
  </si>
  <si>
    <t>สลก.ตร.</t>
  </si>
  <si>
    <t>สง.ก.ตร.</t>
  </si>
  <si>
    <t>สยศ.ตร.</t>
  </si>
  <si>
    <t>ตท.</t>
  </si>
  <si>
    <t>สตส.</t>
  </si>
  <si>
    <t>วน.</t>
  </si>
  <si>
    <t>กมค.</t>
  </si>
  <si>
    <t>พ.ร.บ./จัดสรร</t>
  </si>
  <si>
    <t>รวมครุภัณฑ์</t>
  </si>
  <si>
    <t>รายการงบลงทุนที่หน่วยได้รับการจัดสรรงปบระมาณ</t>
  </si>
  <si>
    <t>จำนวนรายการ</t>
  </si>
  <si>
    <t>วงเงิน</t>
  </si>
  <si>
    <t>งบลงทุน ตาม พ.ร.บ.</t>
  </si>
  <si>
    <t>รายการไม่ผูกพัน</t>
  </si>
  <si>
    <t>รายการผูกพัน</t>
  </si>
  <si>
    <t xml:space="preserve">   - ผูกพันเก่า</t>
  </si>
  <si>
    <t xml:space="preserve">   - ผูกพันใหม่</t>
  </si>
  <si>
    <t>อาวุธยุทโธปกรณ์</t>
  </si>
  <si>
    <t>พร้อมอุปกรณ์ช่วยเหลือผู้ประสบภัย 1 ลำ</t>
  </si>
  <si>
    <t xml:space="preserve"> - จำนวน 8 รายการ</t>
  </si>
  <si>
    <t xml:space="preserve">    1. ศชต.</t>
  </si>
  <si>
    <t xml:space="preserve">    2. บช.ตชด.</t>
  </si>
  <si>
    <t>แยกเป็นหน่วยต่าง ๆ ดังนี้</t>
  </si>
  <si>
    <t xml:space="preserve">    3. นรป.</t>
  </si>
  <si>
    <t xml:space="preserve">    4. สกบ.</t>
  </si>
  <si>
    <t xml:space="preserve">       1) เสื้อเกราะอ่อนป้องกันกระสุน พร้อมแผ่นกระแข็ง 500 ตัว</t>
  </si>
  <si>
    <t xml:space="preserve">        2) เสื้อเกราะอ่อนป้องกันกระสุนพร้อมแผ่นเกราะแข็ง 1,000 ตัว วงเงิน 34,800,000  บาท</t>
  </si>
  <si>
    <t xml:space="preserve">        3) เครื่องยิงทำลายวงจรระเบิดแสวงเครื่อง 2 เครื่อง วงเงิน  1,000,000 บาท</t>
  </si>
  <si>
    <t xml:space="preserve">        4) เครื่องตรวจทุ่นระเบิด 2 เครื่อง  วงเงิน  500,000  บาท</t>
  </si>
  <si>
    <t xml:space="preserve">        5) หุ่นยนต์เก็บกู้วัตถุระเบิด 2 ตัว  วงเงิน 7,000,000  บาท</t>
  </si>
  <si>
    <t xml:space="preserve">        6) ชุดนิรภัยสำหรับเก็บกู้วัตถุระเบิด 2 ชุด  วงเงิน  5,600,000  บาท</t>
  </si>
  <si>
    <t xml:space="preserve">        7) ชุดอาวุธและอุปกรณ์พิเศษประจำรถยนต์อาวุธในการถวายความปลอดภัย (นรป.) 4 ชุด</t>
  </si>
  <si>
    <t xml:space="preserve">       8) เสิ้อเกราะอ่อนป้องกันกระสุน 2,200 ตัว</t>
  </si>
  <si>
    <t xml:space="preserve"> - ผูกพันเก่า  5 รายการ</t>
  </si>
  <si>
    <t xml:space="preserve">     1) โครงการก่อสร้างอาคารที่ทำการกองบัญชาการตำรวจสอบสวนกลางพร้อมส่วนประกอบ 1 หลัง </t>
  </si>
  <si>
    <t>(ผูกพัน ปี 2551 - 2552 , 2554 - 2556)   วงเงิน  35,287,900  บาท</t>
  </si>
  <si>
    <t xml:space="preserve">บาท </t>
  </si>
  <si>
    <t xml:space="preserve">     2) ค่าใช้จ่ายในการจัดซื้อที่ดินจากบรรษัทบริหารสินทรัพย์ไทยไว้ใช้เป็นสถานที่ดำเนินการก่อสร้าง</t>
  </si>
  <si>
    <t xml:space="preserve">อาคารที่ทำการและอาคารที่พักอาศัยให้กับข้าราชการตำรวจของกองบัญชาการตำรวจสอบสวนกลาง </t>
  </si>
  <si>
    <t>(ผูกพันปี 2554 - 2555)  วงเงิน  700,000,000  บาท</t>
  </si>
  <si>
    <t xml:space="preserve">      3) โครงการก่อสร้างอาคารที่ทำการโรงเรียนนายร้อยตำรวจ พร้อมส่วนประกอบ 1 หลัง</t>
  </si>
  <si>
    <t xml:space="preserve">      5) ก่อสร้างอาคารที่ทำการสำนักงานจเรตำรวจ จำนวน 1 หลัง และอาคารที่ทำการสำนักงาน</t>
  </si>
  <si>
    <t>ตรวจสอบภายใน จำนวน 1 หลัง พร้อมส่วนประกอบ(ผูกพันปี 2554-2556)</t>
  </si>
  <si>
    <t xml:space="preserve">      4) โครงการก่อสร้างอาคารโรงพยาบาลตำรวจ(ผูกพันปี 2553-2557) </t>
  </si>
  <si>
    <t xml:space="preserve">(ผูกพันปี 2551-2552,2555-2556)  </t>
  </si>
  <si>
    <t xml:space="preserve"> - ผูกพันใหม่  3 รายการ</t>
  </si>
  <si>
    <t xml:space="preserve">      1) อาคารที่ทำการตำรวจภูธรภาค 8 พร้อมส่วนประกอบ 1 หลัง (ผูกพัน ปี 2555 - ปี 2556)</t>
  </si>
  <si>
    <t xml:space="preserve">      2) โครงการก่อสร้างอาคารที่ทำการศูนย์พิสูจน์หลักฐาน 6 จังหวัดพิษณุโลก พร้อมค่าถมดินและ</t>
  </si>
  <si>
    <t xml:space="preserve">      3) โครงการก่อสร้างอาคารที่ทำการศูนย์พิสูจน์หลักฐาน 4 จังหวัดขอนแก่น พร้อมส่วนประกอบ </t>
  </si>
  <si>
    <t>1 หลัง(ผูกพันปี 2555-2556)  วงเงิน  6,750,000 บาท</t>
  </si>
  <si>
    <t>ส่วนประกอบ 1 หลัง(ผูกพันปี 2555-2556)   วงเงิน  7,043,800  บาท</t>
  </si>
  <si>
    <t xml:space="preserve"> - ผูกพันใหม่  2 รายการ</t>
  </si>
  <si>
    <t xml:space="preserve"> สพฐ.ตร.</t>
  </si>
  <si>
    <t xml:space="preserve">   2) โครงการขยายฐานข้อมูลระบบตรวจสอบลายพิมพ์นิ้วมืออัตโนมัติ (AFIS)(ผูกพันปี 2555-2556)</t>
  </si>
  <si>
    <t xml:space="preserve">   1) โครงการจัดหาเฮลิคอปเตอร์ชนิด 2 เครื่องยนต์ (ทดแทน)</t>
  </si>
  <si>
    <t>รายการผูกพัน  8  รายการ</t>
  </si>
  <si>
    <t>วงเงิน (บาท)</t>
  </si>
  <si>
    <t>คิดเป็นร้อยละ</t>
  </si>
  <si>
    <t>งบสุทธิ(หลังโอนเปลี่ยนแปลง)</t>
  </si>
  <si>
    <t>ยังไม่ทำสัญญา</t>
  </si>
  <si>
    <t>ยอดสุทธิ</t>
  </si>
  <si>
    <t>เปรียบเทียบผลการเบิกจ่ายงบลงทุน</t>
  </si>
  <si>
    <t>ประชุมครั้งที่ 2/2555</t>
  </si>
  <si>
    <t>ประชุมครั้งที่ 3/2555</t>
  </si>
  <si>
    <t>จัดสรร (โอนเปลี่ยนแปลง)</t>
  </si>
  <si>
    <t>รน.</t>
  </si>
  <si>
    <t>ปส.</t>
  </si>
  <si>
    <t>บัญชีงบลงทุนหน่วยต่างๆ ในสังกัด ตร.</t>
  </si>
  <si>
    <t>หน่วย</t>
  </si>
  <si>
    <t>จำนวนเงิน</t>
  </si>
  <si>
    <t>ภาค 1</t>
  </si>
  <si>
    <t>ภาค 2</t>
  </si>
  <si>
    <t>ภาค 3</t>
  </si>
  <si>
    <t>ภาค 4</t>
  </si>
  <si>
    <t>ภาค 5</t>
  </si>
  <si>
    <t>ภาค 6</t>
  </si>
  <si>
    <t>ภาค 7</t>
  </si>
  <si>
    <t>ภาค 8</t>
  </si>
  <si>
    <t>ภาค 9</t>
  </si>
  <si>
    <t xml:space="preserve">จต. </t>
  </si>
  <si>
    <t>รวมทั้งหมด</t>
  </si>
  <si>
    <t>รวมงบลงทุน(ตร.)</t>
  </si>
  <si>
    <t>ผลเบิกจ่าย</t>
  </si>
  <si>
    <t>จัดซื้อ/สัญญา</t>
  </si>
  <si>
    <t>คงเหลือ(หลังเบิกจ่าย)</t>
  </si>
  <si>
    <t xml:space="preserve"> - ครุภัณฑ์ฯ</t>
  </si>
  <si>
    <t xml:space="preserve"> - ที่ดินและสิ่งก่อสร้าง</t>
  </si>
  <si>
    <t>ประจำปีงบประมาณ พ.ศ.2556</t>
  </si>
  <si>
    <t>ลำดับที่</t>
  </si>
  <si>
    <t>รวมทั้งสิ้น</t>
  </si>
  <si>
    <t>ผลผลิต</t>
  </si>
  <si>
    <t>สงป.</t>
  </si>
  <si>
    <t>สรุปผลการเบิกจ่ายงบลงทุนที่หน่วยได้รับการจัดสรรงบประมาณ</t>
  </si>
  <si>
    <t xml:space="preserve"> ตร. มีผลเบิกจ่ายงบลงทุน จำนวนเงิน </t>
  </si>
  <si>
    <t>บาท คิดเป็นร้อยละ</t>
  </si>
  <si>
    <t>ข้อมูล ณ 2 ม.ค.2556 (ระบบ GFMIS)</t>
  </si>
  <si>
    <t>เป้าหมายการเบิกจ่ายงบลงทุน ไตรมาสที่ 1  ร้อยละ 10</t>
  </si>
  <si>
    <t xml:space="preserve"> - หน่วยที่มีผลเบิกจ่ายเป็นไปตามเป้าหมาย มี 1  หน่วย ดังนี้</t>
  </si>
  <si>
    <t xml:space="preserve"> - หน่วยที่มีผลเบิกจ่ายไม่เป็นไปตามเป้าหมาย มี 34  หน่วย แยกเป็น</t>
  </si>
  <si>
    <t>ยังไม่มีผลเบิกจ่าย  30  หน่วย ดังนี้</t>
  </si>
  <si>
    <t>มีผลเบิกจ่ายแล้ว  4  หน่วย ดังนี้</t>
  </si>
  <si>
    <t>ยังไม่ทำสัญญา/เงินเหลือจากการจัดหา</t>
  </si>
  <si>
    <t>รายละเอียดงบลงทุนรายหน่วย  ประจำปีงบประมาณ พ.ศ.2556</t>
  </si>
  <si>
    <t>ทำสัญญา</t>
  </si>
  <si>
    <t>ครุภัณฑ์ฯ</t>
  </si>
  <si>
    <t>สิ่งก่อสร้าง</t>
  </si>
  <si>
    <t>ตชด.</t>
  </si>
  <si>
    <t>งบลงทุน</t>
  </si>
  <si>
    <t>รายการที่เอาออก</t>
  </si>
  <si>
    <t>ข้อมูล ณ 1 เม.ย.56</t>
  </si>
  <si>
    <t xml:space="preserve">รายงาน ณ :  </t>
  </si>
  <si>
    <t>เบิกจ่าย</t>
  </si>
  <si>
    <t>ส.</t>
  </si>
  <si>
    <t>สง.ก.ต.ช.</t>
  </si>
  <si>
    <t>สง.นรป.</t>
  </si>
  <si>
    <t>ประจำปีงบประมาณ พ.ศ.2557</t>
  </si>
  <si>
    <t>ข้อมูล ณ วันที่  (ระบบ GFMIS)</t>
  </si>
  <si>
    <t>ประชุมครั้งที่ /2556</t>
  </si>
  <si>
    <t>ประจำปีงบประมาณ พ.ศ. 2557</t>
  </si>
  <si>
    <t>รายละเอียดงบลงทุนรายหน่วย ประจำปีงบประมาณ พ.ศ.2557</t>
  </si>
  <si>
    <t xml:space="preserve">ข้อมูล ณ </t>
  </si>
  <si>
    <t>รวมงบลงทุน(สลก.ตร.)</t>
  </si>
  <si>
    <t>รวมงบลงทุน(ตท.)</t>
  </si>
  <si>
    <t>รวมงบลงทุน(สท.)</t>
  </si>
  <si>
    <t>รวมงบลงทุน(สง.ก.ต.ช.)</t>
  </si>
  <si>
    <t>รวมงบลงทุน(บ.ตร.)</t>
  </si>
  <si>
    <t>รวมงบลงทุน(วน.)</t>
  </si>
  <si>
    <t>รวมงบลงทุน(สยศ.ตร.)</t>
  </si>
  <si>
    <t>รวมงบลงทุน(สกบ.)</t>
  </si>
  <si>
    <t>รวมงบลงทุน(สกพ.)</t>
  </si>
  <si>
    <t>รวมงบลงทุน(สงป.)</t>
  </si>
  <si>
    <t>รวมงบลงทุน(กมค.)</t>
  </si>
  <si>
    <t>รวมงบลงทุน(สง.ก.ตร.)</t>
  </si>
  <si>
    <t>รวมงบลงทุน(จต.)</t>
  </si>
  <si>
    <t>รวมงบลงทุน(สตส.)</t>
  </si>
  <si>
    <t>รวมงบลงทุน(บช.น.)</t>
  </si>
  <si>
    <t>รวมงบลงทุน(ภ.1)</t>
  </si>
  <si>
    <t>รวมงบลงทุน(ภ.2)</t>
  </si>
  <si>
    <t>รวมงบลงทุน(ภ.3)</t>
  </si>
  <si>
    <t>รวมงบลงทุน(ภ.4)</t>
  </si>
  <si>
    <t>รวมงบลงทุน(ภ.5)</t>
  </si>
  <si>
    <t>รวมงบลงทุน(ภ.6)</t>
  </si>
  <si>
    <t>รวมงบลงทุน(ภ.7)</t>
  </si>
  <si>
    <t>รวมงบลงทุน(ภ.8)</t>
  </si>
  <si>
    <t>รวมงบลงทุน(ภ.9)</t>
  </si>
  <si>
    <t>รวมงบลงทุน(ศชต.)</t>
  </si>
  <si>
    <t>รวมงบลงทุน(สพฐ.ตร.)</t>
  </si>
  <si>
    <t>รวมงบลงทุน(ตชด.)</t>
  </si>
  <si>
    <t>รวมงบลงทุน(สตม.)</t>
  </si>
  <si>
    <t>รวมงบลงทุน(ส.)</t>
  </si>
  <si>
    <t>รวมงบลงทุน(สทส.)</t>
  </si>
  <si>
    <t>รวมงบลงทุน(บช.ศ.)</t>
  </si>
  <si>
    <t>รวมงบลงทุน(รร.นรต.)</t>
  </si>
  <si>
    <t>รวมงบลงทุน(รพ.ตร.)</t>
  </si>
  <si>
    <t>รวมงบลงทุน(บช.ก.)</t>
  </si>
  <si>
    <t>รวมงบลงทุน(รน.)</t>
  </si>
  <si>
    <t>รวมงบลงทุน(ปส.)</t>
  </si>
  <si>
    <t>รวมงบลงทุน(สง.นรป.)</t>
  </si>
  <si>
    <t>รวม</t>
  </si>
  <si>
    <t xml:space="preserve"> </t>
  </si>
  <si>
    <t>22 พ.ค.57 รายงานขอซื้อ/ขอจ้าง/เสนอแต่งตั้งคณะกรรมการสอบราคา</t>
  </si>
  <si>
    <t>29 พ.ค.57 แต่งตั้งคณะกรรมการสอบราคา</t>
  </si>
  <si>
    <t>ครุ</t>
  </si>
  <si>
    <t>สกส</t>
  </si>
  <si>
    <t>ประจำปีงบประมาณ พ.ศ.2558</t>
  </si>
  <si>
    <t>.</t>
  </si>
  <si>
    <t>ค่าซ่อมบำรุงอากาศยาน</t>
  </si>
  <si>
    <t>ถปภ.</t>
  </si>
  <si>
    <t>จำนวน</t>
  </si>
  <si>
    <t>บ.ตร</t>
  </si>
  <si>
    <t>-</t>
  </si>
  <si>
    <t>แบบรายงานการจัดซื้อจัดจ้าง ครุภัณฑ์ที่ดินและสิ่งก่อสร้าง ปีงบประมาณ  2559</t>
  </si>
  <si>
    <t xml:space="preserve">ความก้าวหน้า/ปัญหา 
ประชุม ครั้งที่ 
วันที่ </t>
  </si>
  <si>
    <t>รถตู้โดยสารขนส่งกำลังพล และเครื่องมือ สกบ.(สพ.) จำนวน 1 คัน</t>
  </si>
  <si>
    <t>โครงการปรับปรุงศูนย์ฝึกอบรมคอมพิวเตอร์ 1 โครงการ</t>
  </si>
  <si>
    <t>โครงการพัฒนาระบบคลังพัสดุและระบบฐานข้อมูล</t>
  </si>
  <si>
    <t>ระบบจัดเก็บข้อมูลแบบรูปรายการทางอิเล็กทรอนิกส์ สำหรับกลุ่มงานสถาปนิกและวิศวกร</t>
  </si>
  <si>
    <t>เครื่องพิมพ์ สำหรับกลุ่มงานสถาปนิกและวิศวกร ของกองโยธาธิการ สี/ขาว-ดำ ขนาด A1 (ไม่ช้ากว่า 35 วินาที/แผ่น) จำนวน 3 เครื่อง</t>
  </si>
  <si>
    <t>ชุดโต๊ะประชุม ประกอบด้วยโต๊ะ ขนาด 1.50*0.60 จำนวน 6 ตัว เก้าอี้ 16 ตัว</t>
  </si>
  <si>
    <t>งานปรับปรุงอาคารรักษาการณ์ พร้อมส่วนประกอบ</t>
  </si>
  <si>
    <t>การก่อสร้างอาคารที่ทำการ อาคารลานจอดรถ และคลังรวม ของ สกบ.</t>
  </si>
  <si>
    <t>งานปรับปรุงทาสีอาคารภายใน สกบ. (โครงการที่ 1) 1 แห่ง</t>
  </si>
  <si>
    <t>ปรับปรุงอาคารวัสดุ อาคารหมายเลข 5 พธ. 1 แห่ง</t>
  </si>
  <si>
    <t>รถไฟฟ้าสำหรับขนส่งอาหาร จำนวน 9 คัน</t>
  </si>
  <si>
    <t>โครงการพัฒนาจัดตั้งศูนย์การตรวจวัตถุพยานทางวิทยาศาสตร์ คณะนิติวิทยาศาสตร์ 1 โครงการ</t>
  </si>
  <si>
    <t>อุปกรณ์ป้องกันเครือข่าย (Firewall) แบบที่ 1 1 เครื่อง</t>
  </si>
  <si>
    <t>อุปกรณ์กระจายสัญญาณ (L2 Switch) ขนาด 24 ช่อง แบบที่ 1 จำนวน 3 เครื่อง</t>
  </si>
  <si>
    <t>โครงการก่อสร้างอาคารที่ทำการและสิ่งก่อสร้างประกอบ ศูนย์ฝึกอบรมหนองสาหร่าย ต. หนองสาหร่าย อ. ปากช่อง จว.นครราชสีมา จำนวน 8 รายการ วงเงิน  254,000,000 บาท</t>
  </si>
  <si>
    <t>โครงการก่อสร้างอาคารที่ทำการ ศูนย์พิสูจน์หลักฐาน 8 (จว.สุราษฎร์ธานี) พร้อมค่าถมที่ดินและส่วนประกอบ 1 หลัง</t>
  </si>
  <si>
    <t>รถบรรทุกน้ำดับเพลิง ขนาด 4,000 ลิตร และบรรจุโฟม 300 ลิตร พร้อมหัวฉีด 1 คัน</t>
  </si>
  <si>
    <t>รถบรรทุกเครื่องกำเนิดไฟฟ้าส่องสว่าง ขนาด 30-35 กิโลวัตต์ 1 คัน</t>
  </si>
  <si>
    <t>หมวกกันกระสุน จำนวน 2,000 ใบ</t>
  </si>
  <si>
    <t>รถบรรทุก (ดีเซล) ขนาด 6 ตัน 6 ล้อ แบบบรรทุกน้ำ กก.ตชด.12 จ.สระแก้ว 1 คัน</t>
  </si>
  <si>
    <t>รถบรรทุก (ดีเซล) ขนาด 6 ตัน 6 ล้อ แบบบรรทุกน้ำ กก.ตชด.43 จ.สงขลา 1 คัน</t>
  </si>
  <si>
    <t>สุนัขสงคราม เพื่อภารกิจตรวจค้นยาเสพติด, ตรวจค้นวัตถุระเบิด และสะกดรอย จำนวน 20 ตัว</t>
  </si>
  <si>
    <t>เครื่องพิมพ์ชนิดเลเซอร์/ชนิด LED สีแบบ Netword จำนวน 51 เครื่อง</t>
  </si>
  <si>
    <t>โครงการจัดหาระบบควบคุม ติดตาม สั่งการ (C4I) การปฏิบัติภารกิจเฝ้าระวังรักษาความสงบเรียบร้อยในพื้นที่ชายแดน เพื่อรองรับการเข้าสู่ประชาคมอาเซียนปี 2558 (ระยะที่ 2) ปีงบประมาณ 2559 1 โครงการ</t>
  </si>
  <si>
    <t>โครงการจัดหาระบบโทรคมนาคมสำหรับที่บังคับการทางยุทธวิธีเคลื่อนที่พร้อมรถยนต์ เพื่อการบริหารจัดการชายแดน รองรับประชาคมอาเซียน 1 โครงการ</t>
  </si>
  <si>
    <t>อาคารที่ทำการ บก.ตชด.ภาค 3 (ผูกพันเดิมปี 2558 = 6,000,000 บาท ,ปี 2559 = 20,000,000 บาท ,ปี 25560 = 4,000,000 บาท) 1 หลัง</t>
  </si>
  <si>
    <t>บ้านพักระดับ รอง ผบ.มว./รอง สว. กองร้อย ตชด.136 ต.ลุ่มสุ่ม อ.ไทรโยค จว.กาญจนบุรี 1 หลัง</t>
  </si>
  <si>
    <t>บ้านพักระดับ รอง ผบ.มว./รอง สว. กองร้อย ตชด.134 ต.หนองลู อ.สังขละบุรี จว.กาญจนบุรี 1 หลัง</t>
  </si>
  <si>
    <t>บ้านพักระดับ รอง ผบ.มว./รอง สว. กองร้อย ตชด.414 ต.หงษ์เจริญ อ.ท่าแซะ จว.ชุมพร 1 หลัง</t>
  </si>
  <si>
    <t>บ้านพักระดับ รอง ผบ.มว./รอง สว. กก.ตชด.13 ต.หนองโรง อ.พนมทวน จว.กาญจนบุรี 1 หลัง</t>
  </si>
  <si>
    <t>บ้านพักระดับ รอง ผบ.มว./รอง สว. ศฝส.บก.กฝ.ฯ ต.ชะอำ อ.ชะอำ จว.เพชรบุรี 1 หลัง</t>
  </si>
  <si>
    <t>บ้านพักระดับ ผบ.ร้อย/สว. กองร้อย ตชด.136 ต.ลุ่มสุ่ม อ.ไทรโยค จว.กาญจนบุรี 1 หลัง</t>
  </si>
  <si>
    <t>บ้านพักระดับ ผบ.ร้อย/สว. กองร้อย ตชด.417 ต.มะขามเตี้ย อ.เมือง จว.สุราษฎร์ธานี 1 หลัง</t>
  </si>
  <si>
    <t>บ้านพักระดับ ผบ.ร้อย/สว. กก.ตชด.13 ต.หนองโรง อ.พนมทวน จว.กาญจนบุรี 1 หลัง</t>
  </si>
  <si>
    <t>บ้านพักระดับ ผบ.ร้อย/สว. กก.ตชด.22 ต.ในเมือง อ.เมือง จว.อุบลราชธานี 1 หลัง</t>
  </si>
  <si>
    <t>บ้านพักระดับ ผบ.ร้อย/สว. ศฝส.บก.กฝ.ฯ ต.ชะอำ อ.ชะอำ จว.เพชรบุรี 1 หลัง</t>
  </si>
  <si>
    <t>อาคารคลังพลาธิการ กองร้อย ตชด.217 ต.กังแอน  อ.ปราสาท จ.สุรินทร์ 1 หลัง</t>
  </si>
  <si>
    <t>อาคารคลังพลาธิการ กองร้อย ตชด.314 ต.นาหน่ำ อ.ฟากท่า จ.อุตรดิตถ์ 1 หลัง</t>
  </si>
  <si>
    <t>อาคารคลังพลาธิการ กองร้อย ตชด.337 ต.แม่สะเรียง อ.แม่สะเรียง  จ.แม่ฮ่องสอน 1 หลัง</t>
  </si>
  <si>
    <t>อาคารที่ทำการ ระดับกองร้อย  กองร้อย ตชด.214  ต.บ้านชบ อ.สังขะ จ.สุรินทร์ 1 หลัง</t>
  </si>
  <si>
    <t>อาคารที่ทำการ ระดับกองร้อย กองร้อย ตชด.135 ต.ทองผาภูมิ อ.ทองผาภูมิ จ.กาญจนบุรี 1 หลัง</t>
  </si>
  <si>
    <t>ระบบประปา  กองร้อย ตชด.21 ต.เฉนียง อ.เมือง จ.สุรินทร์ 1 ระบบ</t>
  </si>
  <si>
    <t>ระบบส่งน้ำประปาภูเขา ระยะ 4.5 กม. กองร้อย ตชด.335 ต.ทุ่งข้าวพวง อ.เชียงดาว จ.เชียงใหม่ 1 ระบบ</t>
  </si>
  <si>
    <t>ระบบประปา บก.ตชด.ภาค 3 ต.อินทขิล อ.แม่แตง จ.เชียงใหม่ 1 ระบบ</t>
  </si>
  <si>
    <t>แฟลต 5 ชั้น ขนาด 30 ครอบครัว (ใต้ถุนสูง) กก.ตชด.44 หมู่บ้านบุดี ตำบลบุดี อ.เมือง จ.ยะลา 1 หลัง</t>
  </si>
  <si>
    <t>เรือนแถวชั้นประทวน ขนาด 10 คูหา กก.ตชด.22 ต.ในเมือง อ.เมือง จว.อุบลราชธานี 1 หลัง</t>
  </si>
  <si>
    <t>เรือนแถวชั้นประทวน ขนาด 10 คูหา กองร้อย ตชด.136 ต.ลุ่มสุ่ม อ.ไทรโยค จว.กาญจนบุรี 1 หลัง</t>
  </si>
  <si>
    <t>เรือนแถวชั้นประทวน ขนาด 10 คูหา กองร้อย ตชด.145 ต.เขาน้อย อ.ปราณบุรี จว.ประจวบคีรีขันธ์ 1 หลัง</t>
  </si>
  <si>
    <t>เรือนแถวชั้นประทวน ขนาด 10 คูหา กองร้อย ตชด.146 ต.คลองวาฬ อ.เมือง จว.ประจวบคีรีขันธ์ 1 หลัง</t>
  </si>
  <si>
    <t>เรือนแถวชั้นประทวน ขนาด 10 คูหา กองร้อย ตชด.414 ต.หงษ์เจริญ อ.ท่าแซะ จว.ชุมพร 1 หลัง</t>
  </si>
  <si>
    <t>เรือนแถวชั้นประทวน ขนาด 10 คูหา กก.ตชด.13  ต.หนองโรง อ.พนมทวน จว.กาญจนบุรี 1 หลัง</t>
  </si>
  <si>
    <t>เรือนแถวชั้นประทวน ขนาด 10 คูหา กองร้อย ตชด.134 ต.หนองลู อ.สังขละบุรี จว.กาญจนบุรี 1 หลัง</t>
  </si>
  <si>
    <t>บ้านพักระดับ รอง ผบ.มว./รอง สว. กก.ตชด.22 ต.ในเมือง อ.เมือง จว.อุบลราชธานี 1 หลัง</t>
  </si>
  <si>
    <t>รถบรรทุก (ดีเซล) ขนาด 1 ตัน ขับเคลื่อน 4 ล้อ แบบดับเบิ้ลแค็บ กก.ตชด.21 ต.เฉนียง อ.เมือง จ.สุรินทร์ 1 คัน</t>
  </si>
  <si>
    <t>รถบรรทุก (ดีเซล) ขนาด 1 ตัน ขับเคลื่อน 4 ล้อ แบบมีช่องว่างด้านหลังคนขับ (CAB) บก.ตชด.ภาค1 ต.คลองห้า อ.คลองหลวง จ.ปทุมธานี 1 คัน</t>
  </si>
  <si>
    <t xml:space="preserve">โครงการเพิ่มประสิทธิภาพงานด้านข่าวกรอง 1 โครงการ  </t>
  </si>
  <si>
    <t>โครงการเพิ่มประสิทธิภาพชุดปฏิบัติการรักษาความปลอดภัย 1 โครงการ</t>
  </si>
  <si>
    <t>โครงการปรับปรุงการเดินสายเครือข่ายภายใน (LAN)</t>
  </si>
  <si>
    <t>ก่อสร้างอาคารสนามยิงปืนพกสั้น 14 ช่องยิง</t>
  </si>
  <si>
    <t>รสง.(ก.ด้านการข่าว)</t>
  </si>
  <si>
    <t>ก่อสร้างอาคารหอพัก 26 ห้องนอน พร้อมส่วนประกอบ แขวงทุ่งสองห้อง เขตหลักสี่ กรุงเทพฯ</t>
  </si>
  <si>
    <t>แฟลต 5 ชั้น ขนาด 30 ครอบครัว (ใต้ถุนสูง) พร้อมส่วนประกอบ แขวงทุ่งสองห้อง เขตหลักสี่ กรุงเทพฯ</t>
  </si>
  <si>
    <t>รสง.(ก.เทคโนโลยี)</t>
  </si>
  <si>
    <t xml:space="preserve">ครุภัณฑ์เครื่องมือสืบสวนพิเศษ บช.ปส.กรุงเทพฯ  จำนวน 7 รายการ วงเงิน  20,270,000  บาท </t>
  </si>
  <si>
    <t>ยาเสพติด (ก.สืบสวนฯ)</t>
  </si>
  <si>
    <t xml:space="preserve">3. กล้อง Night Vision ใช้กับอากาศยานไร้คนขับ </t>
  </si>
  <si>
    <t xml:space="preserve">2. อากาศยานไร้คนขับ (UAV) และกล้องพร้อมระบบส่งสัญญาณภาพ </t>
  </si>
  <si>
    <t xml:space="preserve">4. กล้องตรวจการณ์ในเวลากลางคืน แบบประจำการณ์และพกพา Station Night Vision </t>
  </si>
  <si>
    <t>ชุดเข้าถึงข้อมูลข่าวสารอิเล็กทรอนิกส์ แบบ 2 1 ชุด</t>
  </si>
  <si>
    <t>รถบรรทุก (ดีเซล) ขนาด 1 ตัน ขับเคลื่อน 4 ล้อแบบดับเบิ้ลแค็บกันกระสุน ด้านสืบสวนปราบปรามยาเสพติด จำนวน 2 คัน</t>
  </si>
  <si>
    <t>เครื่องเอ็กซเรย์ตรวจค้นยาเสพติด จำนวน 3 เครื่อง</t>
  </si>
  <si>
    <t>รถบรรทุก (ดีเซล) ขนาด 1 ตัน ปริมาตรกระบอกสูบไม่ต่ำกว่า 2,400 ซีซี ขับเคลื่อน 4 ล้อ แบบดับเบิลแค็บ ของ ภ.6 ต.มะตูม อ.พรหมพิราม จ.พิษณุโลก จำนวน 9 คัน</t>
  </si>
  <si>
    <t>ปืนพกสั้น จำนวน 116 กระบอก</t>
  </si>
  <si>
    <t>รถจู่โจมหน่วยปฏิบัติการพิเศษ จำนวน 2 คัน</t>
  </si>
  <si>
    <t>อาวุธปืนยาวอัตโนมัติ ขนาด 5.56 มม. จำนวน 100 กระบอก</t>
  </si>
  <si>
    <t>ปืนไรเฟิลสำหรับชุดจู่โจมพร้อมกล้องช่วยเล็งระยะไกล จำนวน 4 กระบอก</t>
  </si>
  <si>
    <t>ชุดเสริมประสิทธิภาพปืน M4 จำนวน 40 ชุด</t>
  </si>
  <si>
    <t>กล้องตรวจจับรังสีความร้อน Thermal จำนวน 3 กล้อง</t>
  </si>
  <si>
    <t>เครื่องตัดสัญญาณคลื่น Jammer จำนวน 3 เครื่อง</t>
  </si>
  <si>
    <t>เสื้อเกราะอ่อนป้องกันกระสุนระดับ 3A  ภ.7  ถ.ข้างวัง ต.พระปฐมเจดีย์ อ.เมือง จ.นครปฐม จำนวน 100 ตัว</t>
  </si>
  <si>
    <t>เสื้อเกราะอ่อนป้องกันกระสุนระดับ 3A จำนวน 440 ตัว</t>
  </si>
  <si>
    <t>รปภ.(ก.เทคโนโลยีฯ)</t>
  </si>
  <si>
    <t>รถยนต์หุ้มเกราะกันกระสุน ขับเคลื่อน 4 ล้อ สำหรับ ศชต. เลขที่ 53 ถ.สุขยางค์ ต.สะเตง อ.เมือง จ.ยะลา จำนวน 2 คัน</t>
  </si>
  <si>
    <t>โครงการเพิ่มประสิทธิภาพฯชายแดนใต้</t>
  </si>
  <si>
    <t>เสื้อเกราะอ่อนป้องกันกระสุน พร้อมแผ่นเกราะแข็ง (ทดแทน) สำหรับ ศชต. เลขที่ 53 ถ.สุขยางค์ ต.สะเตง อ.เมือง จ.ยะลา จำนวน 55 ตัว</t>
  </si>
  <si>
    <t>รถยนต์หุ้มเกราะกันกระสุน ขับเคลื่อน 4 ล้อ สำหรับ ภ.จว.ยะลา เลขที่ 31 ถ.วงเวียน 2 ต.สะเตง อ.เมือง จ.ยะลา จำนวน 6 คัน</t>
  </si>
  <si>
    <t>รถยนต์หุ้มเกราะกันกระสุน ขับเคลื่อน 4 ล้อ สำหรับ ภ.จว.นราธิวาส เลขที่ 99/9 ม.8 ต.โคกเคียน อ.เมือง จ.นราธิวาส จำนวน 6 คัน</t>
  </si>
  <si>
    <t>รถยนต์หุ้มเกราะกันกระสุน ขับเคลื่อน 4 ล้อ สำหรับ ภ.จว.ปัตตานี เลขที่ 147 ต.บานา อ.เมือง จ.ปัตตานี จำนวน 6 คัน</t>
  </si>
  <si>
    <t>กล้องมองตรวจการณ์เวลากลางคืน ศชต. ต.สะเตง อ.เมือง จว.ยะลา จำนวน 16 เครื่อง</t>
  </si>
  <si>
    <t>อยธ.(ก.สืบสวนฯ)</t>
  </si>
  <si>
    <t>อยธ.(ก.เทคโนโลยีฯ)</t>
  </si>
  <si>
    <t>รปภ.(ก.ป้องกันฯ)</t>
  </si>
  <si>
    <t xml:space="preserve">อาคารที่ทำการ ศฝร.ศชต. เลขที่ 53 ถ.สุขยางค์ ต.สะเตง อ.เมือง จ.ยะลา </t>
  </si>
  <si>
    <t>อาคารที่พักอาศัย (แฟลต)  สูง 5 ชั้น ขนาด 30 ครอบครัว สำหรับ ภ.จว.ปัตตานี เลขที่ 147 ถ.เกษมสำราญ ต.บานา อ.เมือง จ.ปัตตานี</t>
  </si>
  <si>
    <t>อาคารที่พักอาศัย (แฟลต)  สูง 5 ชั้น ขนาด 30 ครอบครัว สำหรับ กก.สส.ภ.จว.ยะลา ต.สะเตง อ.เมือง จ.ยะลา</t>
  </si>
  <si>
    <t xml:space="preserve">อาคารที่พักอาศัย (แฟลต)  สูง 5 ชั้น ขนาด 30 ครอบครัว สำหรับ สภ.แม่หวาด เลขที่ 2 ซ.สันติราษฎร์ ต.แม่หวาด อ.ธารโต จ.ยะลา </t>
  </si>
  <si>
    <t xml:space="preserve">อาคารที่พักอาศัย (แฟลต)  สูง 5 ชั้น ขนาด 30 ครอบครัว สำหรับ สภ.ศรีสาคร เลขที่ 154 หมู่ที่ 1 ต.ซากอ อ.ศรีสาคร จ.นราธิวาส </t>
  </si>
  <si>
    <t xml:space="preserve">อาคารที่พักอาศัย (แฟลต)  สูง 5 ชั้น ขนาด 30 ครอบครัว สำหรับ สภ.ยี่งอ เลขที่ 14/10 ต.ยี่งอ อ.ยี่งอ จ.นราธิวาส </t>
  </si>
  <si>
    <t xml:space="preserve">อาคารที่พักอาศัย (แฟลต)  สูง 5 ชั้น ขนาด 30 ครอบครัว สำหรับ สภ.ปะลุกาสาเมาะ เลขที่ 387 ม.6 ต.ปะลุกาสาเมาะ อ.บาเจาะ จ.นราธิวาส </t>
  </si>
  <si>
    <t xml:space="preserve">รั้วอาคารที่ทำการและที่พักอาศัย สภ.บันนังสตา เลขที่ 33 ถ.สุขยางค์ ต.บันนังสตา อ.บันนังสตา จ.ยะลา </t>
  </si>
  <si>
    <t xml:space="preserve">อาคารที่พักอาศัย (แฟลต)  สูง 5 ชั้น ขนาด 30 ครอบครัว สำหรับ ศชต. เลขที่ 53 ถ.สุขยางค์ ต.สะเตง อ.เมือง จ.ยะลา </t>
  </si>
  <si>
    <t>ก่อสร้างระบบประปาหอสูงขนาดกลาง สภ.แม่หวาด เลขที่ 2 ซ.สันติราษฎร์ ต.แม่หวาด อ.ธารโต จ.ยะลา</t>
  </si>
  <si>
    <t xml:space="preserve">ก่อสร้างระบบประปาหอสูงขนาดกลาง สภ.อัยเยอร์เวง ต.อัยเยอร์เวง อ.เบตง จ.ยะลา </t>
  </si>
  <si>
    <t xml:space="preserve">ก่อสร้างระบบประปาหอสูงขนาดใหญ่ ภ.จว.ยะลา และ สภ.เมืองยะลา เลขที่ 32 ถ.วงเวียน 2 ต.สะเตง อ.เมือง จ.ยะลา </t>
  </si>
  <si>
    <t xml:space="preserve">ก่อสร้างระบบประปาหอสูงขนาดกลางพร้อมระบบบ่อบาดาล สภ.กาบัง ม.5 ถ.ลาแล ต.กาบัง อ.กาบัง จ.ยะลา </t>
  </si>
  <si>
    <t>รปภ.(ก.ผลิตและฝึกอบรม)</t>
  </si>
  <si>
    <t>อาคารที่ทำการ สภ.นาโพธิ์ ต.นาโพธิ์ อ.พิบูลย์มังสาหาร จว.อุบลราชธานี</t>
  </si>
  <si>
    <t>อาคารโรงอาหาร ศฝร.ภ.3 ต. จอหอ อ. เมือง จว.นครราชสีมา จำนวน 2 หลัง</t>
  </si>
  <si>
    <t>รปภ.(ก.ผลิตและฝึกอบรมฯ)</t>
  </si>
  <si>
    <t>เครื่อง GC/MS อ.เมือง จ.สุราษฎร์ธานี 1 เครื่อง</t>
  </si>
  <si>
    <t>โครงการก่อสร้างอาคารที่ทำการ พฐ.จว.น่าน พร้อมส่วนประกอบ ต.ไชยสถาน อ.เมือง จ.น่าน 1 หลัง</t>
  </si>
  <si>
    <t>เครื่องคอมพิวเตอร์ สำหรับงานประมวลผล แบบที่ 2) (จอขนาดไม่น้อยกว่า 18.5 นิ้ว) ต.หนองสาหร่าย อ.ปากช่อง จว.นครราชสีมา จำนวน 30 เครื่อง</t>
  </si>
  <si>
    <t>เครื่องพิมพ์แบบฉีดหมึก สำหรับกระดาษขนาด A3  ต.หนองสาหร่าย อ.ปากช่อง จว.นครราชสีมา จำนวน 2 เครื่อง</t>
  </si>
  <si>
    <t>เครื่องพิมพ์ชนิดเลเซอร์/ชนิด LED ขาวดำ (30 หน้า/นาที) ต.หนองสาหร่าย อ.ปากช่อง จว.นครราชสีมา จำนวน 7 เครื่อง</t>
  </si>
  <si>
    <t>เครื่องพิมพ์ชนิดเลเซอร์/ชนิด LED ขาวดำ แบบ Network แบบที่ 2 (40 หน้า/นาที) ต.หนองสาหร่าย อ.ปากช่อง จว.นครราชสีมา 1 เครื่อง</t>
  </si>
  <si>
    <t>เครื่องพิมพ์ชนิดเลเซอร์/ชนิด LED สี แบบ Network ต.หนองสาหร่าย อ.ปากช่อง จว.นครราชสีมา 1 เครื่อง</t>
  </si>
  <si>
    <t>เครื่องพิมพ์ Multifunction ชนิดเลเซอร์/ชนิด LED สี ต.หนองสาหร่าย อ.ปากช่อง จว.นครราชสีมา จำนวน 12 เครื่อง</t>
  </si>
  <si>
    <t>สแกนเนอร์ สำหรับงานเก็บเอกสารระดับศูนย์บริการ แบบที่ 2 ต.หนองสาหร่าย อ.ปากช่อง จว.นครราชสีมา 1 เครื่อง</t>
  </si>
  <si>
    <t>เครื่องสำรองไฟ ขนาด 1 KVA ต.หนองสาหร่าย อ.ปากช่อง จว.นครราชสีมา จำนวน 62 เครื่อง</t>
  </si>
  <si>
    <t>เครื่องคอมพิวเตอร์ สำหรับงานประมวลผล แบบที่ 1 (จอขนาดไม่น้อยกว่า 18.5 นิ้ว) ต.หนองสาหร่าย อ.ปากช่อง จว.นครราชสีมา จำนวน 5 เครื่อง</t>
  </si>
  <si>
    <t>เครื่องคอมพิวเตอร์โน้ตบุ้ค สำหรับงานประมวลผล ต.หนองสาหร่าย อ.ปากช่อง จว.นครราชสีมา จำนวน 11 เครื่อง</t>
  </si>
  <si>
    <t>โครงการปรับปรุงระบบเทคโนโลยีของคณะตำรวจศาสตร์  1 โครงการ</t>
  </si>
  <si>
    <t>เครื่องตรวจ ตา หู ชนิดชาร์ตไฟ รพ.ตร.(ศชต.) ต.สะเตง อ.เมือง จ.ยะลา จำนวน 3 เครื่อง</t>
  </si>
  <si>
    <t>โครงการเพิ่มประสิทธิภาพกลุ่มงานเก็บกู้และตรวจพิสูจน์วัตถุระเบิด (บช.น.) จำนวน 6 รายการ วงเงิน 39,010,000 บาท</t>
  </si>
  <si>
    <t xml:space="preserve"> 1. เสื้อเกราะอ่อนป้องกันกระสุนพร้อมแผ่นเกราะแข็ง</t>
  </si>
  <si>
    <t xml:space="preserve"> 2. หุ่นยนต์เก็บกู้วัตถุระเบิด</t>
  </si>
  <si>
    <t xml:space="preserve"> 3. เครื่องเอกซเรย์ตรวจหาอาวุธและวัตถุระเบิด</t>
  </si>
  <si>
    <t xml:space="preserve"> 4. เครื่องตรวจค้นหาวงจรอิเล็กทรอนิกส์ </t>
  </si>
  <si>
    <t xml:space="preserve"> 5. เครื่องตรวจโลหะแบบประตู</t>
  </si>
  <si>
    <t xml:space="preserve"> 6. หมวกกันกระสุนระดับ 3 เอ</t>
  </si>
  <si>
    <t>เรือยนต์ตรวจการณ์ สน.ปากคลองสาน จำนวน 2 ลำ</t>
  </si>
  <si>
    <t>เครื่องคอมพิวเตอร์สำหรับงานประมวลผล แบบที่ 1 (จอขนาดไม่น้อยกว่า 18.5 นิ้ว) จำนวน 57 เครื่อง</t>
  </si>
  <si>
    <t>เครื่องคอมพิวเตอร์สำหรับงานประมวลผล แบบที่ 2 (จอขนาดไม่น้อยกว่า 18.5 นิ้ว) จำนวน 10 เครื่อง</t>
  </si>
  <si>
    <t>เครื่องพิมพ์ชนิดเลเซอร์/ชนิด LED ขาวดำ (30หน้า/นาที) จำนวน 114 เครื่อง</t>
  </si>
  <si>
    <t>ผ้าห่มคลุมระเบิด บก.สส.ภ.2 1 ผืน</t>
  </si>
  <si>
    <t>ปืนเล็กยาวติดกล้องเล็งขนาด 7.62 มม. พร้อมอุปกรณ์ประจำปืนครบชุด บก.สส.ภ.2 จำนวน 2 กระบอก</t>
  </si>
  <si>
    <t>หมวกกันกระสุนพร้อมหน้ากากกันกระสุน บก.สส.ภ.2 จำนวน 15 ใบ</t>
  </si>
  <si>
    <t>กล้องตรวจการในเวลากลางคืน บก.สส.ภ.2 จำนวน 2 ตัว</t>
  </si>
  <si>
    <t>โล่กันกระสุนอาวุธปืนสงคราม Level 3A บก.สส.ภ.2  1 ตัว</t>
  </si>
  <si>
    <t>ปืนกลมือขนาด 9 มม. (พารา) ไฟฉายพร้อมด้ามจับและกล้องเล็ง บก.สส.ภ.2 จำนวน 15 กระบอก</t>
  </si>
  <si>
    <t>ปืนลูกซองขนาด 12(GAUGE) พร้อมกระโจมมือหน้าพร้อมไฟฉาย บก.สส.ภ.2 จำนวน 2 กระบอก</t>
  </si>
  <si>
    <t>ไฟส่องสว่างแบบไม่เห็นด้วยตาเปล่า บก.สส.ภ.2  1 ชุด</t>
  </si>
  <si>
    <t>กล้องวัดระยะด้วยแสงเลเซอร์สำหรับปืนเล็กยาวพลซุ่มยิง บก.สส.ภ.2 จำนวน 2 ตัว</t>
  </si>
  <si>
    <t>ไฟฉายพร้อมขาติดกล้องเล็ง บก.สส.ภ.2 จำนวน 15 กระบอก</t>
  </si>
  <si>
    <t>ปืนยิงแก๊สน้ำตาพร้อมอุปกรณ์ บก.สส.ภ.2  1 ชุด</t>
  </si>
  <si>
    <t>คลังพลาธิการ ภ.2 ต.หนองข้างคอก อ.เมือง จว.ชลบุรี  1 คลัง</t>
  </si>
  <si>
    <t>เรือนแถวชั้นประทวนขนาด 10 คูหา แบบมีโรงจอดรถ และลานซักล้าง สภ.มาบตาพุด อ.เมือง จว.ระยอง  1 หลัง</t>
  </si>
  <si>
    <t xml:space="preserve">โครงการก่อสร้างศูนย์ฝึกอบรมพัฒนาบุคลากรและสวัสดิการสำนักงานตำรวจแห่งชาติแบบวิลล่า (ระยะที่ 2) ต.บางละมุง อ.บางละมุง จ.ชลบุรี </t>
  </si>
  <si>
    <t>รปภ.(ก.บริหารจัดการ)</t>
  </si>
  <si>
    <t>ระบบผลิตไฟฟ้าด้วยพลังงานแสงอาทิตย์ ภ.5 ต.หนองหอย จว.เชียงใหม่ จำนวน 24 แห่ง</t>
  </si>
  <si>
    <t>ครุภัณฑ์ประจำอาคารที่ทำการ ภ.จว.พะเยา ต.บ้านต๋อม อ.เมือง จ.พะเยา</t>
  </si>
  <si>
    <t>เครื่องคอมพิวเตอร์ สำหรับงานประมวลผล แบบที่ 2 (จอขนาดไม่น้อยกว่า 18.5 นิ้ว) ของ ภ.5 ต.หนองหอย อ.เมือง จว.เชียงใหม่ จำนวน 30 เครื่อง</t>
  </si>
  <si>
    <t>เครื่องคอมพิวเตอร์โน๊ตบุ้ค สำหรับงานประมวลผล ของ ภ.5 ต.หนองหอย อ.เมือง จว.เชียงใหม่ จำนวน 35 เครื่อง</t>
  </si>
  <si>
    <t>เครื่องคอมพิวเตอร์แม่ข่าย แบบที่ 2 ของ ภ.5 ต.หนองหอย อ.เมือง จว.เชียงใหม่ จำนวน 3 เครื่อง</t>
  </si>
  <si>
    <t>ซอฟแวร์ระบบงาน GIS ของ ภ.5 ต.หนองหอย อ.เมือง จว.เชียงใหม่ 1 ระบบ</t>
  </si>
  <si>
    <t>เครื่องคอมพิวเตอร์ สำหรับงานประมวลผล แบบที่ 2 (จอขนาดไม่น้อยกว่า 18.5 นิ้ว) ของ ภ.5 ต.หนองหอย อ.เมือง จว.เชียงใหม่ 1 เครื่อง</t>
  </si>
  <si>
    <t>เครื่องสำรองไฟฟ้า ขนาด 1 KVA ของ ภ.5 ต.หนองหอย อ.เมือง จว.เชียงใหม่ จำนวน 99 เครื่อง</t>
  </si>
  <si>
    <t>เครื่องสำรองไฟฟ้า ขนาด 2 KVA ของ ภ.5 ต.หนองหอย อ.เมือง จว.เชียงใหม่ จำนวน 8 เครื่อง</t>
  </si>
  <si>
    <t>อาคารที่ทำการ ภ.จว.เชียงใหม่ พร้อมส่วนประกอบ</t>
  </si>
  <si>
    <t>อาคารที่ทำการ ภ.จว.เชียงราย พร้อมส่วนประกอบ ต.ริมกก อ.เมือง จว.เชียงราย</t>
  </si>
  <si>
    <t>แฟลต 5 ชั้น ขนาด 30 ครอบครัว (ใต้ถุนสูง) บก.อก.ภ.5 ต.หนองหอย อ.เมือง จว.เชียงใหม่</t>
  </si>
  <si>
    <t xml:space="preserve">บ้านพักระดับ รอง ผบก.-ผกก.ภ.จว.เชียงใหม่ </t>
  </si>
  <si>
    <t>รถลากจูง 6 ล้อ พร้อมวิทยุอุปกรณ์สื่อสารไซเรน ภ.6 ต.มะตูม อ.พรหมพิราม จว.พิษณุโลก จำนวน 5 คัน</t>
  </si>
  <si>
    <t>แฟลต 5 ชั้น 50 ครอบครัว บก.สส.ภ.6จว.พิษณุโลก</t>
  </si>
  <si>
    <t>สนามฝึกยุทธวิธีตำรวจพร้อมอาคารเอนกประสงค์และสนามยิงปืน ภ.6 ต.มะตูม อ.พรหมพิราม จว.พิษณุโลก จำนวน 9 รายการ วงเงิน  75,000,000  บาท</t>
  </si>
  <si>
    <t xml:space="preserve"> 1. ลานตรวจพล 1 แห่ง</t>
  </si>
  <si>
    <t xml:space="preserve"> 2. อาคารที่ทำการกองร้อย 1 หลัง 1 แห่ง</t>
  </si>
  <si>
    <t xml:space="preserve"> 3. อาคารกองร้อย 1 แห่ง</t>
  </si>
  <si>
    <t xml:space="preserve"> 4. อาคารโรงยิมฯ 1 แห่ง</t>
  </si>
  <si>
    <t xml:space="preserve"> 5. สนามยิงปืน 25 หลา 1 แห่ง</t>
  </si>
  <si>
    <t xml:space="preserve"> 6. อาคารยิงปืน 100 หลา 1 แห่ง</t>
  </si>
  <si>
    <t xml:space="preserve"> 7. สถานีทดสอบความเชื่อมั่น 1 แห่ง</t>
  </si>
  <si>
    <t xml:space="preserve"> 8. หอโดด 1 แห่ง</t>
  </si>
  <si>
    <t xml:space="preserve"> 9. สนามฟุตบอล 1 แห่ง </t>
  </si>
  <si>
    <t>โครงการติดตั้งระบบไฟแสดงที่ตั้งสนามเฮลิคอปเตอร์และลานจอดเฮลิคอปเตอร์ ของหน่วยบินหัวหิน ต.ชะอำ อ.ชะอำ จ.เพชรบุรี 1 โครงการ</t>
  </si>
  <si>
    <t>เครื่องคอมพิวเตอร์แม่ข่าย แบบที่ 1 ของ ภ.8 ต.ท่าข้าม อ.พุนพิน จว.สุราษฎร์ธานี จำนวน 5 เครื่อง</t>
  </si>
  <si>
    <t>เครื่องคอมพิวเตอร์ สำหรับงานสำนักงาน (จอขนาดไม่น้อยกว่า 18.5 นิ้ว) ของ ภ.8 ต.ท่าข้าม อ.พุนพิน จว.สุราษฎร์ธานี จำนวน 50 เครื่อง</t>
  </si>
  <si>
    <t>เครื่องคอมพิวเตอร์ สำหรับงานประมวลผล แบบที่ 2 (จอขนาดไม่น้อยกว่า 18.5 นิ้ว) ของ ภ.8 ต.ท่าข้าม อ.พุนพิน จว.สุราษฎร์ธานี จำนวน 30 เครื่อง</t>
  </si>
  <si>
    <t>เครื่องคอมพิวเตอร์โน๊ตบุ้ค สำหรับงานประมวลผล ของ ภ.8 ต.ท่าข้าม อ.พุนพิน จว.สุราษฎร์ธานี จำนวน 59 เครื่อง</t>
  </si>
  <si>
    <t>เครื่องคอมพิวเตอร์โน๊ตบุ้ค สำหรับงานสำนักงาน ของ ภ.8 ต.ท่าข้าม อ.พุนพิน จว.สุราษฎร์ธานี จำนวน 60 เครื่อง</t>
  </si>
  <si>
    <t>เครื่องพิมพ์ชนิดเลเซอร์/ชนิด LED ขาวดำ (30หน้า/นาที) ของ ภ.8 ต.ท่าข้าม อ.พุนพิน จว.สุราษฎร์ธานี จำนวน 75 เครื่อง</t>
  </si>
  <si>
    <t>เครื่องพิมพ์ Multifunction ชนิดเลเซอร์ / ชนิด LED สี ของ ภ.8 ต.ท่าข้าม อ.พุนพิน จว.สุราษฎร์ธานี จำนวน 60 เครื่อง</t>
  </si>
  <si>
    <t>เครื่องพิมพ์ชนิดเลเซอร์/ชนิด LED ขาวดำ แบบ Network แบบที่ 1 (35หน้า/นาที) ของ ภ.8 ต.ท่าข้าม อ.พุนพิน จว.สุราษฎร์ธานี จำนวน 10 เครื่อง</t>
  </si>
  <si>
    <t>เครื่องคอมพิวเตอร์แท็บเล็ต แบบที่ 1 ของ ภ.8 ต.ท่าข้าม อ.พุนพิน จว.สุราษฎร์ธานี จำนวน 109 เครื่อง</t>
  </si>
  <si>
    <t>เครื่องคอมพิวเตอร์แท็บเล็ต แบบที่ 2 ของ ภ.8 ต.ท่าข้าม อ.พุนพิน จว.สุราษฎร์ธานี จำนวน 12 เครื่อง</t>
  </si>
  <si>
    <t>เครื่องสำรองไฟฟ้าขนาดไม่ต่ำกว่า 1 KVA ของ ภ.8 ต.ท่าข้าม อ.พุนพิน จว.สุราษฎร์ธานี 94 เครื่อง</t>
  </si>
  <si>
    <t>เครื่องสำรองไฟฟ้าขนาดไม่ต่ำกว่า 2 KVA ของ ภ.8 ต.ท่าข้าม อ.พุนพิน จว.สุราษฎร์ธานี 4 เครื่อง</t>
  </si>
  <si>
    <t>อาคารที่ทำการ บก.สส.ภ.8 พร้อมส่วนประกอบ ต.ไม้ขาว อ.ถลาง จว.ภูเก็ต</t>
  </si>
  <si>
    <t>อาคารที่ทำการ สภ.คีรีรัฐนิคม ต.ท่าขนอน อ.คีรีรัฐนิคม จว.สุราษฎร์ธานี 1 หลัง</t>
  </si>
  <si>
    <t>เรือนแถวชั้นประทวนและพลตำรวจ สภ.สาคู จว.ภูเก็ต จำนวน 2 หลัง</t>
  </si>
  <si>
    <t>เรือนแถวชั้นประทวนและพลตำรวจ บก.สส.ภ.8 ต.ไม้ขาว อ.ถลาง จว.ภูเก็ต จำนวน 27 หลัง</t>
  </si>
  <si>
    <t>เรือยนต์ตรวจการณ์ ขนาด  20 - 30 ฟุต ภ.9 ต.บ่อยาง อ.เมือง จว.สงขลา 1 ลำ</t>
  </si>
  <si>
    <t>เครื่องคอมพิวเตอร์แม่ข่าย แบบที่ 2 ของ ภาค 9 (ก.สืบสวนฯ) ต.บ่อยาง อ.เมือง จว.สงขลา 1 เครื่อง</t>
  </si>
  <si>
    <t>แผงวงจรเครื่องคอมพิวเตอร์แม่ข่าย ชนิด Blade สำหรับตู้ Enclosure/Chassis แบบที่ 1 ของ ภาค 9 (ก.สืบสวน) ต.บ่อยาง อ.เมือง จ.สงขลา</t>
  </si>
  <si>
    <t>อุปกรณ์ป้องกันเครือข่าย (Firewall) แบบที่ 1 ของ ภาค 9 (ก.สืบสวน) ต.บ่อยาง อ.เมือง จ.สงขลา</t>
  </si>
  <si>
    <t>แฟลต ขนาด 30 ครอบครัว สูง 5 ชั้น ของ ภ.9 (ส่วนกลาง) ต.บ่อยาง อ.เมือง จว.สงขลา 1 หลัง</t>
  </si>
  <si>
    <t>เรือนแถวชั้นประทวนและพลตำรวจ 10 คูหา พร้อมส่วนประกอบ สภ.โคกชะงาย ต.โคกชะงาย อ.เมือง จว.พัทลุง 1 หลัง</t>
  </si>
  <si>
    <t>ค่าซ่อมใหญ่เรือตรวจการณ์</t>
  </si>
  <si>
    <t>ทท.</t>
  </si>
  <si>
    <t>อุปกรณ์ช่วยเหลือนักท่องเที่ยวประจำรถยนต์และหน่วยงาน แขวงวังใหม่ เขตปทุมวัน กทม. จำนวน 30 ชุด</t>
  </si>
  <si>
    <t>รถจักรยานยนต์ ขนาดไม่ต่ำกว่า 145 ซีซี พร้อมอุปกรณ์ แขวงวังใหม่ เขตปทุมวัน กทม. จำนวน 90 คัน</t>
  </si>
  <si>
    <r>
      <t xml:space="preserve">โครงการจัดหาอากาศยานช่วยเหลือทางการแพทย์เพื่อเพิ่มประสิทธิภาพด้านความปลอดภัยนักท่องเที่ยว </t>
    </r>
    <r>
      <rPr>
        <b/>
        <sz val="14"/>
        <color indexed="8"/>
        <rFont val="TH SarabunPSK"/>
        <family val="2"/>
      </rPr>
      <t>(ผูกพันเดิม  ปี 2558 = 120,000,000 บาท , ปี 2559 = 560,000,000 บาท , ปี 2560 = 120,000,000 บาท) จำนวน 2 ลำ</t>
    </r>
  </si>
  <si>
    <t>รสง.(ก.เขตน่านน้ำ)</t>
  </si>
  <si>
    <t>กล้องดิจิตอล พร้อมเลนส์ซูม ปคม. แขวงทุ่งสองห้อง เขตหลักสี่ กทม. จำนวน 6 กล้อง</t>
  </si>
  <si>
    <t xml:space="preserve">เครื่องคอมพิวเตอร์สำหรับงานประมวลผล แบบที่ 2 (จอขนาดไม่น้อยกว่า 18.5 นิ้ว) ปคม. แขวงทุ่งสองห้อง เขตหลักสี่ กทม. จำนวน 15 เครื่อง </t>
  </si>
  <si>
    <t>เครื่องคอมพิวเตอร์โน๊ตบุ๊ค สำหรับสำนักงาน ปคม.  แขวงทุ่งสองห้อง เขตหลักสี่ กทม. จำนวน 12 เครื่อง</t>
  </si>
  <si>
    <t>เครื่องสำรองไฟฟ้า ขนาด 1 KVA ปคม. แขวงทุ่งสองห้อง เขตหลักสี่ กทม. จำนวน 13 เครื่อง</t>
  </si>
  <si>
    <t>รถบรรทุก (ดีเซล) ขนาด 1 ตัน ปริมาตรกระบอกสูบไม่ต่ำกว่า 2,400 ซีซี ขับเคลื่อน 4 ล้อ (ปทส.) แขวงลาดยาว เขตจตุจักร กทม. จำนวน 12 คัน</t>
  </si>
  <si>
    <t>เครื่องคอมพิวเตอร์ สำหรับงานประมวลผล แบบที่ 1 บช.ก. แขวงวังใหม่ เขตปทุมวัน กทม. จำนวน 10 เครื่อง</t>
  </si>
  <si>
    <t>เครื่องคอมพิวเตอร์โน๊ตบุ๊ค สำหรับงานประมวลผล  บช.ก. แขวงวังใหม่ เขตปทุมวัน กทม. จำนวน 22 เครื่อง</t>
  </si>
  <si>
    <t>เครื่องคอมพิวเตอร์โน๊ตบุ๊ค สำหรับงานสำนักงาน  บช.ก. แขวงวังใหม่ เขตปทุมวัน กทม. จำนวน 8 เครื่อง</t>
  </si>
  <si>
    <t>เครื่องคอมพิวเตอร์ สำหรับงานสำนักงาน (จอขนาดไม่น้อยกว่า 18.5 นิ้ว) บช.ก. แขวงวังใหม่ เขตปทุมวัน กทม. จำนวน 20 เครื่อง</t>
  </si>
  <si>
    <t>เครื่องคอมพิวเตอร์แม่ข่าย แบบที่ 1 บช.ก.แขวงวังใหม่ เขตปทุมวัน กทม. 1 เครื่อง</t>
  </si>
  <si>
    <t>เครื่องพิมพ์ชนิดเลเซอร์ LED ขาวดำ (30 หน้า/นาที) บช.ก. แขวงวังใหม่ เขตปทุมวัน กทม. จำนวน 10 เครื่อง</t>
  </si>
  <si>
    <t>คอมพิวเตอร์แท็บเล็ต บช.ก. แขวงวังใหม่ เขตปทุมวัน กทม. จำนวน 20 เครื่อง</t>
  </si>
  <si>
    <t>เสื้อเกราะพร้อมแผ่นแข็ง  บช.ก. แขวงวังใหม่ เขตปทุมวัน กทม. จำนวน 20 ตัว</t>
  </si>
  <si>
    <t>รถบรรทุก (ดีเซล) ขนาด 1 ตัน ปริมาตรกระบอกสูบไม่ต่ำกว่า 2,400 ซีซี ขับเคลื่อน 4 ล้อ แบบดับเบิ้ลแค็บ บช.ก. อาคาร 8 แขวงวังใหม่ เขตปทุมวัน กทม. จำนวน 4 คัน</t>
  </si>
  <si>
    <t>รถนั่งส่วนกลาง ปริมาตรกระบอกสูบไม่เกิน 1,600 ซีซี. บช.ก. อาคาร 8 แขวงวังใหม่ เขตปทุมวัน กทม. จำนวน 2 คัน</t>
  </si>
  <si>
    <t>การค้ามนุษย์(ก.ป้องกันฯ)</t>
  </si>
  <si>
    <t>การค้ามนุษย์(ก.เทคโนโลยี)</t>
  </si>
  <si>
    <t>การกระทำผิดเกี่ยวกับทรัพยากรฯ(ก.การปราบปรามฯ)</t>
  </si>
  <si>
    <t>รปภ.(ก.ปปปคดีเฉพาะทาง)</t>
  </si>
  <si>
    <t>ค่าปรับปรุงซ่อมแซมอาคารแฟลตบ้านพักข้าราชการตำรวจน้ำ ถ.สุขสวัสดิ์ ต.ปากคลองบางปลากด อ.พระสมุทรเจดีย์ จ.สมุทรปราการ จำนวน 5 หลัง</t>
  </si>
  <si>
    <t>บก.รน.</t>
  </si>
  <si>
    <t>อาคารที่ทำการ พร้อมส่วนประกอบ ตม.จว.ปทุมธานี (ต.สวนพริกไทย อ.เมือง)</t>
  </si>
  <si>
    <t>อาคารที่ทำการ พร้อมส่วนประกอบ บก.ตม.4  ต.สำราญ  อ.เมือง จ.ขอนแก่น</t>
  </si>
  <si>
    <t>อาคารที่พักอาศัย (แฟลต) ขนาด 30 ครอบครัว สูง 5 ชั้น พร้อมส่วนประกอบ ตม.จว.สระแก้ว (ต.อรัญประเทศ อ.อรัญประเทศ)</t>
  </si>
  <si>
    <t>อาคารที่พักอาศัย (แฟลต) ขนาด 30 ครอบครัว สูง 3 ชั้น ไม่มีใต้ถุน พร้อมส่วนประกอบ บก.ตม.5 (ต.ดอนแก้ว อ.แม่ริม จ.เชียงใหม่)</t>
  </si>
  <si>
    <t>อาคารที่ทำการ พร้อมส่วนประกอบ ตม.จว.ประจวบคีรีขันธ์ (ต.ทับใต้ อ.หัวหิน)</t>
  </si>
  <si>
    <t>อาคารที่พักอาศัย (แฟลต) ขนาด 50 ครอบครัว สูง 5 ชั้น ไม่มีใต้ถุน  พร้อมส่วนประกอบ ตม.จว.หนองคาย (ต.มีชัย อ.เมือง)</t>
  </si>
  <si>
    <t>อาคารที่พักอาศัย (แฟลต) ขนาด 30 ครอบครัว สูง 5 ชั้น พร้อมส่วนประกอบ ตม.จว.จันทบุรี (ต.ทับไทร อ.โปร่งน้ำร้อน)</t>
  </si>
  <si>
    <t>ลักลอบหลบหนีเข้าเมืองฯ(ก.การตรวจบุคคลฯ)</t>
  </si>
  <si>
    <t>อาคารเรือนแถวชั้นประทวนและพลตำรวจ 10 คูหา (แบบตอกเสาเข็ม) พร้อมส่วนประกอบ ด่าน ตม.เชียงแสน (ต.เวียง อ.เชียงแสน จ.เชียงราย) จำนวน 2 หลัง</t>
  </si>
  <si>
    <t>รสง.(ก.เฝ้าระวัง)</t>
  </si>
  <si>
    <t>รสง.(ก.เทนโนโลยี)</t>
  </si>
  <si>
    <t>โครงการ AEC</t>
  </si>
  <si>
    <t>อยธ.(ก.การตรวจพิสูจน์)</t>
  </si>
  <si>
    <t>โครงการพัฒนาการเชื่อมต่อระบบเครือข่ายคอมพิวเตอร์ภายในรถยนต์สายตรวจ สทส. แขวงวังใหม่ เขตปทุมวัน กรุงเทพมหานคร</t>
  </si>
  <si>
    <t>โครงการจัดหาเครื่องสำรองไฟฟ้าสำรองสำหรับห้องคอมพิวเตอร์แม่ข่าย ตร. อาคาร 33 ชั้น 4 สทส. แขวงวังใหม่ เขตปทุมวัน กรุงเทพมหานคร</t>
  </si>
  <si>
    <t>โครงการพัฒนาระบบการป้องกันภัยคุกคามสำหรับระบบเครือข่ายอินเทอร์เน็ต ตร. (Firewall and Network Solution) สทส. แขวงวังใหม่ เขตปทุมวัน กรุงเทพมหานคร</t>
  </si>
  <si>
    <t>โครงการพัฒนาเทคโนโลยีสารสนเทศสถานีตำรวจ (CRIMES) ระยะที่ 2 (ส่วนที่ 2) สทส. แขวงวังใหม่ เขตปทุมวัน กรุงเทพมหานคร</t>
  </si>
  <si>
    <t>เครื่องคอมพิวเตอร์โน้ตบุ้ค สำหรับงานประมวลผล แขวงวังใหม่ เขตปทุมวัน กรุงเทพฯ จำนวน 8 เครื่อง</t>
  </si>
  <si>
    <t>เครื่องพิมพ์ชนิดเลเซอร์/ชนิด LED ขาวดำ (30 หน้า/นาที) สทส. แขวงวังใหม่ เขตปทุมวัน กรุงเทพมหานคร จำนวน 4 เครื่อง</t>
  </si>
  <si>
    <t>โครงการพัฒนาระบบการตรวจสอบช่องโหว่ ของระบบเทคโนโลยีสารสนเทศ ตร. สทส. แขวงวังใหม่ เขตปทุมวัน กรุงเทพมหานคร 1 โครงการ</t>
  </si>
  <si>
    <t>สร้างอาคารที่ทำการ (ฝสส.3 สส.,ฝสส.4 สส.ฝสส.7สส.) สทส. แขวงวังใหม่ เขตปทุมวัน กรุงเทพมหานคร จำนวน 3 หลัง</t>
  </si>
  <si>
    <t>บริการสุขภาพ(ก.การตรวจรักษาทางการแพทย์)</t>
  </si>
  <si>
    <t>รถบัสโดยสารขนาดเล็ก 21 ที่นั่ง แบบปรับอากาศ  (นรป.) สนามเสือป่า แขวงจิตรลดา เขตดุสิต กรุงเทพฯ 1 คัน</t>
  </si>
  <si>
    <t>ซ่อมตัวโครงสร้างอาคารบ้านพักส่วนกลาง ตร. ทั้ง 7 แห่ง</t>
  </si>
  <si>
    <t>ปรับปรุงอาคารสถานที่ ฌาปนสถาน ตร. แขวงบ้านพานถม เขตพระนคร กรุงเทพ</t>
  </si>
  <si>
    <t>โครงการก่อสร้างอาคารที่พักอาศัย (แฟลต 8 ชั้น) ขนาด 42 ครอบครัว (ซอยลือชา) (เฟต 2) จำนวน 5 หลัง</t>
  </si>
  <si>
    <t>เครื่องคอมพิวเตอร์โน้ตบุ้ค สำหรับงานประมวลผล ของ กมค. (ก.สนับสนุนฯ) แขวงวังใหม่ เขตปทุมวัน กทม.</t>
  </si>
  <si>
    <t>เครื่องโทรสาร แบบใช้กระดาษธรรมดาส่งเอกสารได้ครั้งละ 20 แผ่น กมค. อาคาร 1 ชั้น 15 แขวงวังใหม่ เขตปทุมวัน กทม. จำนวน 4 เครื่อง</t>
  </si>
  <si>
    <t>เครื่องคอมพิวเตอร์ สำหรับงานประมวลผล แบบที่ 2 (จอขนาดไม่น้อยกว่า 18.5 นิ้ว) ของ กมค. (ก.สนับสนุนฯ) แขวงวังใหม่ เขตปทุมวัน กทม. จำนวน 19 เครื่อง</t>
  </si>
  <si>
    <t>เครื่องพิมพ์แบบฉีดหมึก สำหรับกระดาษขนาด A3 ของ กมค. (ก.สนับสนุนฯ) แขวงวังใหม่ เขตปทุมวัน กทม. จำนวน 2 เครื่อง</t>
  </si>
  <si>
    <t>อยธ.(ก.สนับสนุนฯ)</t>
  </si>
  <si>
    <t>โครงการก่อสร้างลานกีฬาอเนกประสงค์ พร้อมอุปกรณ์ประจำสนาม สบส. เพื่อใช้เป็นห้องเรียน ต.ศาลายา อ.พุทธมณฑล จ.นครปฐม</t>
  </si>
  <si>
    <t>โครงการก่อสร้างหลังคาลานจอดรถ สบส. ต.ศาลายา อ.พุทธมณฑล จ.นครปฐม</t>
  </si>
  <si>
    <t xml:space="preserve">อุปกรณ์จัดเก็บข้อมูลแบบภายนอก (External Storage) สท.สำนักงานตำรวจแห่งชาติ ถนนพระราม 1 แขวงวังใหม่ เขตปทุมวัน กรุงเทพฯ </t>
  </si>
  <si>
    <t xml:space="preserve">สแกนเนอร์ สำหรับงานเก็บเอกสารระดับศูนย์บริการ แบบที่ 1 สท.สำนักงานตำรวจแห่งชาติ ถนนพระราม 1 แขวงวังใหม่ เขตปทุมวัน กรุงเทพฯ </t>
  </si>
  <si>
    <t>เครื่องคอมพิวเตอร์ สำหรับงานสำนักงาน (จอขนาดไม่น้อยกว่า 18.5 นิ้ว) สท.สำนักงานตำรวจแห่งชาติ ถนนพระราม 1 แขวงวังใหม่ เขตปทุมวัน กรุงเทพฯ จำนวน 5 เครื่อง</t>
  </si>
  <si>
    <t>เครื่องคอมพิวเตอร์ สำหรับงานประมวลผล แบบที่ 1 (จอขนาดไม่น้อยกว่า 18.5 นิ้ว) สท.สำนักงานตำรวจแห่งชาติ ถนนพระราม 1 แขวงวังใหม่ เขตปทุมวัน กรุงเทพฯ จำนวน 2 เครื่อง</t>
  </si>
  <si>
    <t>เครื่องคอมพิวเตอร์โน้ตบุ้ค สำหรับงานสำนักงาน สท.สำนักงานตำรวจแห่งชาติ ถนนพระราม 1 แขวงวังใหม่ เขตปทุมวัน กรุงเทพฯ จำนวน 2 เครื่อง</t>
  </si>
  <si>
    <t>เครื่องพิมพ์  Multifunction ชนิดเลเซอร์/ชนิด LED สี สท.สำนักงานตำรวจแห่งชาติ ถนนพระราม 1 แขวงวังใหม่ เขตปทุมวัน กรุงเทพฯ จำนวน 2 เครื่อง</t>
  </si>
  <si>
    <t>โครงการจัดหาเครื่องกำเนิดกระแสไฟฟ้าโดยน้ำมันเชื้อเพลิง สำหรับดำรงการออกอากาศของศูนย์ผลิตรายการและข่าว ตร. กรุงเทพมหานคร</t>
  </si>
  <si>
    <t>เครื่องตรวจวัดแอลกอฮอล์ในเลือดจากลมหายใจชนิดพกพา แขวงวังใหม่ เขตปทุมวัน กรุงเทพฯ จำนวน 610 เครื่อง</t>
  </si>
  <si>
    <t>โครงการจัดหาอาวุธปืนให้กับผู้สำเร็จการศึกษาใหม่ (นรต.และนสต.) จำนวน 7910 ชุด</t>
  </si>
  <si>
    <t>จราจรฯ(ก.การปฏิบัติการฯ)</t>
  </si>
  <si>
    <t>โครงการปรับปรุงพัฒนาศูนย์กีฬาตำรวจ</t>
  </si>
  <si>
    <t xml:space="preserve">ความก้าวหน้า/ปัญหา 
ประชุม (ระดับเจ้าหน้าที่) ครั้งที่ 7/58 
วันที่ 21 ส.ค.58 </t>
  </si>
  <si>
    <t>บัญชีงบลงทุนหน่วยต่างๆ ในสังกัด ตร. ปีงบประมาณ 2559</t>
  </si>
  <si>
    <t>อาคารเรือนแถวชั้นประทวน 10 คูหา สทส. แขวงวังใหม่ เขตปทุมวัน กรุงเทพมหานคร จำนวน 2 หลัง</t>
  </si>
  <si>
    <t>โครงการจัดหาอุปกรณ์ไฟนำร่องลงจอดในเวลากลางวันและกลางคืนทุกสภาพอากาศ (บ.ตร.) แขวงท่าแร้ง เขตบางเขน กรุงเทพฯ จำนวน 2 ชุด</t>
  </si>
  <si>
    <t>รถเติมน้ำมันเชื้อเพลิงอากาศยาน แบบที่ 2 (ขนาด 8,000 ลิตร) กรุงเทพมหานคร จำนวน 1 คัน</t>
  </si>
  <si>
    <t>รถยนต์ลากจูงอากาศยาน กรุงเทพมหานคร จำนวน 2 คัน</t>
  </si>
  <si>
    <t>โครงการปรับปรุงสมรรถนะเฮลิคอปเตอร์ รองรับการเข้าสู่ประชาคมอาเซียน บ.ตร. แขวงท่าแร้ง เขตบางเขน กรุงเทพมหานคร 1 โครงการ</t>
  </si>
  <si>
    <t>เรือนแถวชั้นประทวนขนาด 10 คูหา (ทดแทน)  ของ บ.ตร. ถ.รามอินทรา แขวงท่าแร้ง เขตบางเขน กรุงเทพ จำนวน 3 หลัง</t>
  </si>
  <si>
    <t>บ้านพัก ระดับ รอง ผบก.-ผกก. ขนาด 8 ห้อง (ทดแทน) ของ บ.ตร. ถ.รามอินทรา แขวงท่าแร้ง เขตบางเขน กรุงเทพจำนวน 2 หลัง</t>
  </si>
  <si>
    <t>ก่อสร้างรั้วบริเวณบ้านพักข้าราชการ ด้านหลังกองบินตำรวจ ถ.รามอินทรา แขวงท่าแร้ง เขตบางเขน กรุงเทพ 1 แห่ง</t>
  </si>
  <si>
    <t>1. ระบบสาธารณูปโภค</t>
  </si>
  <si>
    <t>2. ค่าปรับปรุงภูมิทัศน์ ศูนย์ฝึกอบรมหนองสาหร่าย จว.นครราชสีมา</t>
  </si>
  <si>
    <t>3. บ้านพักครูฝึก (บ้านเดี่ยว)</t>
  </si>
  <si>
    <t>4. เมืองจำลองสถานการณ์</t>
  </si>
  <si>
    <t>5. อาคารหอพัก 3 ชั้น</t>
  </si>
  <si>
    <t>6. อาคารฝึกยิงปืนทางยุทธวิธีในร่ม ระยะ 100 เมตร</t>
  </si>
  <si>
    <t>7. ศูนย์เทคโนโลยีสารสนเทศ</t>
  </si>
  <si>
    <t>8. หอเกียรติยศ</t>
  </si>
  <si>
    <t>ผลผลิต/โครงการ</t>
  </si>
  <si>
    <t>รวมงบลงทุน</t>
  </si>
  <si>
    <t>โครงการเพิ่มประสิทธิภาพการควบคุมสถานการณ์ความไม่สงบในเขต จชต.</t>
  </si>
  <si>
    <t>โครงการจัดหาอาวุธยุทโธปกรณ์สำหรับกำลังพลใหม่ ต.สะเตง อ.เมือง จ.ยะลา</t>
  </si>
  <si>
    <t xml:space="preserve">เสื้อเกราะอ่อนป้องกันกระสุน ระดับ 3+ (ภาคใต้) ต.สะเตง อ.เมือง จ.ยะลา </t>
  </si>
  <si>
    <t>1,355 ตัว</t>
  </si>
  <si>
    <t>การป้องกันและปราบปรามการลักลอบหลบหนีเข้าเมืองและ
คนต่างด้าวไม่พึงปรารถนา</t>
  </si>
  <si>
    <t>รถจักรยานยนต์ ขนาด 300 ซีซี สำหรับโครงการยกระดับการรักษาความปลอดภัยในชีวิตและทรัพย์สิน รองรับเศรษฐกิจพิเศษ สถานีตำรวจภูธรแม่สาย จว.เชียงราย</t>
  </si>
  <si>
    <t>13 คัน</t>
  </si>
  <si>
    <t>คอมพิวเตอร์ สำหรับประมวลผลแบบที่ 2 สำหรับโครงการยกระดับการรักษาความปลอดภัยในชีวิตและทรัพย์สิน รองรับเศรษฐกิจพิเศษ สถานีตำรวจภูธรแม่สาย จว.เชียงราย</t>
  </si>
  <si>
    <t>3 เครื่อง</t>
  </si>
  <si>
    <t>กล้องถ่ายวีดีโอระบบดิจิตอล สำหรับโครงการยกระดับการรักษาความปลอดภัยในชีวิตและทรัพย์สิน รองรับเศรษฐกิจพิเศษ สถานีตำรวจภูธรแม่สาย จว.เชียงราย</t>
  </si>
  <si>
    <t>8 กล้อง</t>
  </si>
  <si>
    <t>โครงการพัฒนาช่องตรวจหนังสือเดินทาง เพื่อขับเคลื่อนนโยบายเขตพัฒนาเศรษฐกิจพิเศษ ตรวจคนเข้าเมือง จว.สระแก้ว</t>
  </si>
  <si>
    <t>40 ช่อง</t>
  </si>
  <si>
    <t>ปรับปรุงหน่วยบริการประชาชน เพื่อยกระดับการรักษาความปลอดภัยในชีวิตและทรัพย์สิน รอบรับเศรษฐกิจพิเศษ สถานีตำรวจภูธรแม่สาย จว.เชียงราย (1. ตู้ยามบ้านด้าย 2. ตู้ยามบาสพาส 3. ตู้ยามโป่งงาม 4. ตู้ยามโป่งผา 5. ตู้ยามเวียงพางคำ 6. ตู้ยามเวียงหอม 7. ตู้ยามห้วยไคร้ 8. ตู้ยามห้วยน้ำริน 9. ตู้ยามัวฝาย และ 10. ศูนย์จราจร สภ.แม่สาย)</t>
  </si>
  <si>
    <t>10 แห่ง</t>
  </si>
  <si>
    <t>สร้างศูนย์ One stop Service โครงการยกระดับการรักษาความปลอดภัยในชีวิตและทรัพย์สิน รอบรับเศรษฐกิจพิเศษ สถานีตำรวจภูธรแม่สาย จว.เชียงราย</t>
  </si>
  <si>
    <t>1 แห่ง</t>
  </si>
  <si>
    <t>การรักษาความปลอดภัยในชีวิตและทรัพย์สินของประชาชน</t>
  </si>
  <si>
    <t>โครงการจัดหาและติดตั้งระบบวทยุสื่อสารดิจิตอล ระยะที่ 1</t>
  </si>
  <si>
    <t>โครงการจัดหาอุปกรณ์ประจำกายให้กับ ขรก.ตร.สายปฏิบัติงาน</t>
  </si>
  <si>
    <t>รายการงบลงทุนที่หน่วยได้รับการจัดสรรงบประมาณ</t>
  </si>
  <si>
    <t>ประจำปีงบประมาณ พ.ศ.2559 (หมวดงบรายจ่ายอื่น)</t>
  </si>
  <si>
    <t>2 M</t>
  </si>
  <si>
    <t>2M - 500M</t>
  </si>
  <si>
    <t>คร</t>
  </si>
  <si>
    <t>500 M +</t>
  </si>
  <si>
    <t>พธ.</t>
  </si>
  <si>
    <t>อาคารที่พักอาศัย สน.สายไหม บก.น.2 พร้อมส่วนประกอบ 1 หลัง (ผูกพันเก่า ปี 2558)</t>
  </si>
  <si>
    <t>บตร.โอนให้ พธ.จัดหา</t>
  </si>
  <si>
    <t>บช.น..โอนให้ พธ.จัดหา</t>
  </si>
  <si>
    <t>ภ.2 โอนให้ สกบ.จัดหา</t>
  </si>
  <si>
    <t>บช.น..โอนให้ สกบ.จัดหา</t>
  </si>
  <si>
    <t>บช.ก.โอนให้ สกบ.จัดหา</t>
  </si>
  <si>
    <t>โครงการศูนย์ฝึกอบรมพัฒนาบุคลากรและสวัสดิการสำนักงานตำรวจแห่งชาติ ระยะที่ 2 อ.ชะอำ จ.เพชรบุรี (ผูกพันใหม่ ปี 59)</t>
  </si>
  <si>
    <t xml:space="preserve">ครุภัณฑ์ศูนย์ฝึกอบรมหนองสาหร่าย จว.นครราชสีมา </t>
  </si>
  <si>
    <t xml:space="preserve">ความก้าวหน้า/ปัญหา 
ประชุม (ระดับ ตร.) ครั้งที่ 1/59
วันที่ 6 พ.ย.58 </t>
  </si>
  <si>
    <t>500 M</t>
  </si>
  <si>
    <t>500  M</t>
  </si>
  <si>
    <t xml:space="preserve">ความก้าวหน้า/ปัญหา 
ประชุม (ระดับ ตร.) ครั้งที่ 2/59
วันที่ 4 ธ.ค.58 </t>
  </si>
  <si>
    <t>รายงาน ณ :  25 พ.ย.58</t>
  </si>
  <si>
    <t>ลงประาศครั้งที่ 1 มีผู้ทักท้วงว่าการประกาศไม่ได้เปิดช่องให้มีการวิจารณ์ จึงยกเลิกประกาศครั้งที่ 1</t>
  </si>
  <si>
    <t>อยู่ระหว่างเลิกประกาศประกวดราคาเนื่องจากต้องนำร่างประกาศและร่างเอกสารประกวดราคาอิเลคทรอนิส์เผยแพร่สาธารณชนเสนอแนะ วิจารณ์หรือมีความเห็นเป็นลายลักษณ์อักษรก่อน</t>
  </si>
  <si>
    <t>"</t>
  </si>
  <si>
    <t>การกระทำผิดเกี่ยวกับทรพยากรฯ(ก.การปราบปรามฯ)</t>
  </si>
  <si>
    <t>ชุดเคาน์เตอร์รูปตัวแอล ปทส. 77 ชุด</t>
  </si>
  <si>
    <t>เครื่องปรับอากาศประจำศูนย์ ปทส. 77 เครื่อง</t>
  </si>
  <si>
    <t>คอมพิวเตอร์ all in one (ไม่มี case) ปทส. 154 เครื่อง</t>
  </si>
  <si>
    <t>ค่าปรับปรุงห้องศูนย์ ปทส. 77 ศูนย์</t>
  </si>
  <si>
    <t> อยู่ระหว่างประกาศร่าง TOR ครั้งที่ 1
สิ้นสุดวันที่ 5 พ.ย.58 </t>
  </si>
  <si>
    <t>  ได้ทำการจัดซื้อด้วยวิธี E-Bilding เสนอราคาในวันที่ 20 พ.ย.58 อยู่ในรหว่างการพิจารณาคุณสมบัติของผู้เสนอราคา  </t>
  </si>
  <si>
    <t>ได้ทำการจัดซื้อด้วยวิธี E-Bilding เสนอราคาในวันที่ 20 พ.ย.58 อยู่ในรหว่างการพิจารณาคุณสมบัติของผู้เสนอราคา  </t>
  </si>
  <si>
    <t>ถอนเรื่องคืน กรณีขอเปลียนแปลงสถานที่ก่อสร้าง จาก สภ.มาบตาพุด ไปก่อสร้างที่ สภ.เขาชะเมา ( หลังที่ 2 )</t>
  </si>
  <si>
    <t>ออกประกาศประกวดราคา 23 - 30 พ.ย.58 เสนอราคา วันที่ 4 ธ.ค.58 สามารถลงนามในสัญญาได้ ภายใน 25 ธ.ค.58</t>
  </si>
  <si>
    <t>อยู่ระหว่างกำหนดราคากลาง</t>
  </si>
  <si>
    <t>ได้ดำเนินการแต่งตั้งคณะกรรมการกำหนดราคาได้ราคากลางเสร็จสิ้นเรียบร้อยแล้ว อยู่ระหว่างขออนุมัติแต่งตั้งคณะกรรมการร่าง TOR และร่างเอกสารประกวดราคา/คณะกรรมการประกวดราคาและผู้ควบคุมงานการจ้าง</t>
  </si>
  <si>
    <t>อยู่ระหว่างประกาศร่างรับฟังคำวิจารณ์
ครบกำหนด 26 พ.ย.2558</t>
  </si>
  <si>
    <t xml:space="preserve"> คณะกรรมการอยู่ระหว่างทบทวนคุณลักษณะเฉพาะคาดว่าก่อหนี้ผูกพันได้ ภายในไตรมาส 1/2559 </t>
  </si>
  <si>
    <t xml:space="preserve">กำหนดราคากลาง
</t>
  </si>
  <si>
    <t>คณะกรรมการอยู่ระหว่างทบทวนคุณลักษณะเฉพาะคาดว่าก่อหนี้ผูกพันได้ ภายในไตรมาส 1/2559</t>
  </si>
  <si>
    <t>กำหนดราคากลาง</t>
  </si>
  <si>
    <t>ประกาศแล้วไม่มีผู้เสนอราคา</t>
  </si>
  <si>
    <t>อยู่ระหว่างกำหนดคุณลักษณะเฉพาะ</t>
  </si>
  <si>
    <t>อยู่ระหว่างขออนุมัติยกเลิกประกาศ TOR</t>
  </si>
  <si>
    <t>อยู่ระหว่างขออนุมัตินำร่างประกาศและร่างเอกสารประกวดราคาอิเล็กทรอนิกส์ เผยแพร่ให้สาธารชนเสนอแนะวิจารณ์</t>
  </si>
  <si>
    <t>  ได้ผู้ชนะ บ.พาโซย่า จำกัด วงเงิน 575,000 บาท  อยู่ระหว่างลงนามในสัญญา</t>
  </si>
  <si>
    <t> ได้ผู้ชนะ บ.พาโซย่า จำกัด วงเงิน 575,000 บาท  ลงนามในสัญญาวันที่ 1 ธ.ค.58      </t>
  </si>
  <si>
    <t>  สอบราคา ระหว่าง 15 - 30 ต.ค.58 กำหนดเปิดซอง 2 พ.ย.58  </t>
  </si>
  <si>
    <t>  ได้ผู้ชนะ บ.เอมิโปร จำกัด วงเงิน 592,500 บาท  ลงนามในสัญญาวันที่ 1 ธ.ค.58  </t>
  </si>
  <si>
    <t> สอบราคาระหว่าง 1-ต.ค.-2พ.ย.58 กำหนดเปิดซอง  3 พ.ย.58 </t>
  </si>
  <si>
    <t>  ได้ผู้ชนะ บ.เอมิโปร จำกัด วงเงิน 521,100 บาท ลงนามในสัญญาวันที่ 1 ธ.ค.58  </t>
  </si>
  <si>
    <t>สอบราคาระหว่าง 22 ต.ค.-5พ.ย.58 กำหนดเปิดซอง 6 พ.ย.58</t>
  </si>
  <si>
    <t>  ได้ผู้ชนะ บ.เอมิโปร จำกัด วงเงิน 1,050,200 บาทลงนามในสัญญาวันที่ 1 ธ.ค.58  </t>
  </si>
  <si>
    <t> สอบราคาระหว่าง 22 ต.ค.-6พ.ย.58 กำหนดเปิดซอง 9 พ.ย.58 </t>
  </si>
  <si>
    <t>   ได้ผู้ชนะ บ.มิสเตอร์คอมพวิเตอร์แอนด์คอมมูนิเคชั่น วงเงิน 695,760 บาท ลงนามในสัญญาวันที่ 1 ธ.ค.58   </t>
  </si>
  <si>
    <t>   สอบราคา ระหว่าง 15 - 26 ต.ค.58 กำหนดเปิดซอง 27 ต.ค.58   </t>
  </si>
  <si>
    <t>    ได้ผู้ชนะ บ.เอส ดี ภูเก็ต คอมพิวเตอร์  วงเงิน 658,200  บาท ลงนามในสัญญาวันที่ 1 ธ.ค.58    </t>
  </si>
  <si>
    <t> ใช้วิธีตกลงราคา สามารถลงนามได้ภายใน 30 พ.ย.58</t>
  </si>
  <si>
    <t>    ได้ผู้ชนะ บ.มิสเตอร์คอมพวิเตอร์แอนด์คอมมูนิเคชั่น วงเงิน 299,250  บาท ลงนามในสัญญาวันที่ 1 ธ.ค.58    </t>
  </si>
  <si>
    <t>สอบราคาระหว่าง 19 ต.ค. - 3 พ.ย.58 กำหนดเปิดซอง 4 พ.ย.58</t>
  </si>
  <si>
    <t>     ได้ผู้ชนะ บ.ริโก้ จำกัด วงเงิน 200,000  บาท ลงนามในสัญญาวันที่ 1 ธ.ค.58     </t>
  </si>
  <si>
    <t>     ได้ผู้ชนะ บ.เอส ดี ภูเก็ต คอมพิวเตอร์  วงเงิน 587,510   บาท ลงนามในสัญญาวันที่ 1 ธ.ค.58     </t>
  </si>
  <si>
    <t>      ได้ผู้ชนะ บ.ริโก้ จำกัด วงเงิน 240,000  บาท ลงนามในสัญญาวันที่ 1 ธ.ค.58      </t>
  </si>
  <si>
    <t> สอบราคาระหว่าง 19 ต.ค. - 2 พ.ย.58 กำหนดเปิดซอง 3 พ.ย.58 </t>
  </si>
  <si>
    <t>     ได้ผู้ชนะ บ.มิสเตอร์คอมพวิเตอร์แอนด์คอมมูนิเคชั่น วงเงิน 201,160   บาท ลงนามในสัญญาวันที่ 1 ธ.ค.58     </t>
  </si>
  <si>
    <t>       ได้ผู้ชนะ บ.ริโก้ จำกัด วงเงิน  48,000  บาท ลงนามในสัญญาวันที่ 1 ธ.ค.58       </t>
  </si>
  <si>
    <t> 1-12 ต.ค.58 กำหนดราคากลาง / 2-6 พ.ย.58เผยแพร่ประกาศและเอกสารประกวดราคา</t>
  </si>
  <si>
    <t xml:space="preserve">16-22 ต.ค.58 ประกาศเชิญชวน / 16 พ.ย.กำหนดเสนอราคา </t>
  </si>
  <si>
    <t> 23-30 ก.ย.58 ประกาศเชิญชวน / 12 ต.ค.58 กำหนดเสนอราคา  /26 ต.ค.-16 พ.ย.58 เสนอสำนักงบประมาณเห็นชอบราคา</t>
  </si>
  <si>
    <t>26-30 ต.ค.58 กำหนดราคากลาง/2-4 พ.ย.เผยแพร่ประกาศและเอกสารประกวดราคา</t>
  </si>
  <si>
    <t> ประกาศเชิญชวน 20-27 พ.ย.58 </t>
  </si>
  <si>
    <t>-30 พ.ย.58 เสนอสำนักงบประมาณเห็นชอบราคา   
- 14-18 ธ.ค.58 ขออนุมัติร่างผ่าน ผบ.ตร.ถึง รัฐมนตรีเจ้าสังกัด 
- 22-25 ธ.ค.58 เสนอขออนุมัติจ้างต่อรัฐมนตรีเจ้าสังกัด -30 ธ.ค.58  ลงนามในสัญญาจ้างได้ </t>
  </si>
  <si>
    <t>-23 พ.ย.58 กำหนดเสนอราคา   ไม่มีผู้ยื่น ทำ e-bidding  ครั้งที่ 2  ลงนามทันภายใน 30 ธ.ค.58</t>
  </si>
  <si>
    <t>-26 ต.ค.-30 พ.ย.58เสนอสำนักงบประมาณเห็นชอบราคา 
-1-10 ธ.ค.58 ขออนุมัติจ้าง  
- 14-18 ธ.ค.58 กำหนดลงนามในสัญญา(7วัน)</t>
  </si>
  <si>
    <t xml:space="preserve">  - อยู่ระหว่างกำหนดคุณลักษณะและกำหนดราคากลาง มี เจ้าหน้าที่ศุลกากร กรมเจ้าท่า และตำรวจน้ำ</t>
  </si>
  <si>
    <t>-  อยู่ระหว่างกำหนดคุณลักษณะเฉพาะและกำหนดราคากลางเนื่องจากสเปคของ ตร. ปี 2534 รุ่นเก่า   
- อยู่ระหว่างดำเนินการจัดซื้อ โดยขอความร่วมมือจากหน่วยงานทางราชการ ขอทราบราคาการจัดซื้อ เพื่อกำหนดราคากลาง เป็นราคาอ้างอิง</t>
  </si>
  <si>
    <t xml:space="preserve">  - จัดหาโดยวิธีพิเศษ  - อยู่ระหว่างลงนามในสัญญา</t>
  </si>
  <si>
    <t xml:space="preserve"> - จัดหาได้ 310,000 บาท อยู่ระหว่างลงนามในสัญญา</t>
  </si>
  <si>
    <t xml:space="preserve"> - จัดหาได้ 140,000 บาท อยู่ระหว่างลงนามในสัญญา</t>
  </si>
  <si>
    <t xml:space="preserve"> - จัดหาได้ 280,000 บาท อยู่ระหว่างลงนามในสัญญา  </t>
  </si>
  <si>
    <t xml:space="preserve">  - จัดหาโดยวิธี e-bidding  - ภ.9 ได้แต่งตั้งคณะกรรมการกำหนดราคากลาง ตามคำสั่งที่ 362/58  ลง 2 ก.ย.58  - อยู่ระหว่างรอกำหนดผังบริเวณ จาก ยธ. (ซึ่ง ภ.9 ได้มีหนังสือ บก.อก.ภ.9 ที่ 0024.142/1435 ลง 20 ส.ค.58   และ จนท.ของ ยธ.ตร. ได้ลงมาตรวจผังบริเวณเมื่อ 23 ก.ย.58)  - อยู่ระหว่างรอกำหนดผังบริเวณจากโยธา</t>
  </si>
  <si>
    <t>  - จัดหาโดยวิธี e-bidding  
- ภ.9 ได้แต่งตั้งคณะกรรมการกำหนดราคากลาง ตามคำสั่งที่ 362/58  ลง 2 ก.ย.58  
- อยู่ระหว่างรอกำหนดผังบริเวณ จาก ยธ. (ซึ่ง ภ.9 ได้มีหนังสือ บก.อก.ภ.9 ที่ 0024.142/1435 ลง 20 ส.ค.58   และ จนท.ของ ยธ.ตร. ได้ลงมาตรวจผังบริเวณเมื่อ 23 ก.ย.58)  
- ภ.9 ได้รับแบบรูปรายการจาก ยธ.ตร. เมื่อ 20 พ.ย.58  
- ขณะนี้อยู่ระหว่างคณะกรรมการกำหนดราคากลาง  </t>
  </si>
  <si>
    <t xml:space="preserve">  - อยู่ระหว่างขอรับความเห็นชอบ</t>
  </si>
  <si>
    <t>  - จัดหาโดยวิธี ebidding กำหนดราคากลางตามคำสั่ง ภ.จว.พัทลุง ที่ 883/2528 ลง 15 ก.ย.58  ประกาศร่างเอกสารประกวดราคา  
- อยู่ระหว่างจัดทำประกาศและเอกสารประกวดกราคาจ้างก่อสร้าง ฯ เพื่อประกาศขึ้นเว็บไซด์ จว.พัทลุง   และกรมบัญชีกลาง  </t>
  </si>
  <si>
    <t xml:space="preserve">   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0025.142/11616 ลง 31 ต.ค.58 เมื่อได้รับการอนุมัติคาดว่าจะลงนามสัญญาได้ภายใน 31 ธ.ค.58    </t>
  </si>
  <si>
    <t xml:space="preserve"> 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0025.142/11616 ลง 31 ต.ค.58 เมื่อได้รับการอนุมัติคาดว่าจะลงนามสัญญาได้ภายใน 31 ธ.ค.58  </t>
  </si>
  <si>
    <t xml:space="preserve">  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0025.142/11616 ลง 31 ต.ค.58  เมื่อได้รับการอนุมัติคาดว่าจะลงนามสัญญาได้ภายใน 31 ธ.ค.58   </t>
  </si>
  <si>
    <t xml:space="preserve">  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0025.142/11616 ลง 31 ต.ค.58 เมื่อได้รับการอนุมัติคาดว่าจะลงนามสัญญาได้ภายใน 31 ธ.ค.58   </t>
  </si>
  <si>
    <t xml:space="preserve"> 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0025.142/11616 ลง 31 ต.ค.58 เมื่อได้รับการอนุมัติคาดว่าจะลงนามสัญญาได้ภายใน 31 ธ.ค.28  </t>
  </si>
  <si>
    <t xml:space="preserve">   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0025.142.142/11616 ลง 31 ต.ค.๕๘ เมื่อได้รับการอนุมัติคาดว่าจะลงนามสัญญาได้ภายใน 31 ธ.ค.๕๘  </t>
  </si>
  <si>
    <t xml:space="preserve">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๐๐๒๕.๑๔๒/๑๑๖๑๖ ลง ๓๑ ต.ค.๕๘ เมื่อได้รับการอนุมัติคาดว่าจะลงนามสัญญาได้ภายใน ๓๑ ธ.ค.๖๓</t>
  </si>
  <si>
    <t xml:space="preserve">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๐๐๒๕.๑๔๒/๑๑๖๑๖ ลง ๓๑ ต.ค.๕๘ เมื่อได้รับการอนุมัติคาดว่าจะลงนามสัญญาได้ภายใน ๓๑ ธ.ค.๖๔</t>
  </si>
  <si>
    <t xml:space="preserve">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๐๐๒๕.๑๔๒/๑๑๖๑๖ ลง ๓๑ ต.ค.๕๘ เมื่อได้รับการอนุมัติคาดว่าจะลงนามสัญญาได้ภายใน ๓๑ ธ.ค.๖๕</t>
  </si>
  <si>
    <t xml:space="preserve">    อยู่ระหว่างการขออนุมัติจัดหาพัสดุประเภทยุทธภัณฑ์ โดยขอยกเว้นการปฏิบัติตามระเบียบ ก.ต.ช. ให้ ศชต. เป็นผู้จัดหาเอง ตามหนังสือ ศชต. ที่ 0025.142/11616 ลง 31 ต.ค.58 เมื่อได้รับการอนุมัติคาดว่าจะลงนามสัญญาได้ภายใน 31 ธ.ค.58   </t>
  </si>
  <si>
    <t xml:space="preserve">  อยู่ระหว่างการประสานโยธาธิการจังหวัดเป็นกรรมการกำหนดราคากลาง </t>
  </si>
  <si>
    <t xml:space="preserve"> อยู่ระหว่างรอแบบรูปรายการ จาก ยธ.สกบ. เพื่อกำหนดราคากลาง </t>
  </si>
  <si>
    <t xml:space="preserve"> อยู่ระหว่างการประสานโยธาธิการจังหวัดเป็นกรรมการกำหนดราคากลาง </t>
  </si>
  <si>
    <t>อยู่ระหว่างคณะกรรมการกำหนดราคากลาง</t>
  </si>
  <si>
    <t xml:space="preserve"> อยู่ระหว่างคณะกรรมการกำหนดราคากลาง </t>
  </si>
  <si>
    <t>จัดหาโดยวิธีประกวดราคาอิเล็กทรอนิกส์ ขอรับความเห็นชอบเมื่อ 12 พ.ย.58 วันที่ 25 พ.ย.58 ประกาศประกวดราคา</t>
  </si>
  <si>
    <t> จัดหาโดยวิธีสอบราคา อยู่ระหว่างขอรับความเห็นชอบ </t>
  </si>
  <si>
    <t>อยู่ระหว่างขออนุมัติจัดซื้อ</t>
  </si>
  <si>
    <t> อยู่ระหว่างลงประกาศร่างเอกสารประกวดราคาทางเว๊ปไซต์ ระหว่างวันที่ 24 พ.ย.58 - 1 ธ.ค.58 (5 วันทำการ) </t>
  </si>
  <si>
    <t>27 พ.ย.58 ขอรับความเห็นชอบ</t>
  </si>
  <si>
    <t>   10 - 20 พ.ย.58 ประกาศสอบราคา    23 พ.ย.58 เปิดซอง ยกเลิก ขอรับความเห็นชอบใหม่เมื่อ 27 พ.ย.58  </t>
  </si>
  <si>
    <t>10 - 20 พ.ย.58 ประกาศสอบราคา 23 พ.ย.58  เปิดซอง ยกเลิก ขอรับความเห็นชอบใหม่ 27 พ.ย.58</t>
  </si>
  <si>
    <t> 10 - 20 พ.ย.58 ประกาศสอบราคา 23 พ.ย.58 เปิดซอง ยกเลิก ขอรับความเห็นชอบใหม่ 27 พ.ย.58 </t>
  </si>
  <si>
    <t> อยู่ระหว่างให้บริษัทฯ ที่สนใจจัดทำเอกสารเพื่อยื่นเสนอราคา </t>
  </si>
  <si>
    <t>ขอรับความเห็นชอบเรียบร้อย</t>
  </si>
  <si>
    <t> อยู่ระหว่างขออนุมัติจัดซื้อ </t>
  </si>
  <si>
    <t> อยู่ระหว่างประกาศสอบราคา เปิดซองวันที่ 1 ธ.ค.58</t>
  </si>
  <si>
    <t> อยู่ระหว่างคณะกรรมการพิจารณาขอบเขตของงาน (TOR)</t>
  </si>
  <si>
    <t>อยู่ระหว่างประกาศสอบราคา วันที่ 26 พ.ย.58 - 8 ธ.ค.58</t>
  </si>
  <si>
    <t>อยู่ระหว่างคณะกรรมการกำหนดราคากลาง ดำเนินการคำนวณราคากลาง และอยู่ระหว่างจัดทำร่างประกาศและร่างเอกสารประกวดราคา</t>
  </si>
  <si>
    <t>รอ ตร. อนุมัติให้ บช.ปส. เป็นหน่วยจัดหา</t>
  </si>
  <si>
    <t>ตร.มีบันทึกลง 6 พ.ย.58 สั่งการให้ สกบ.(สพ.) จัดหา</t>
  </si>
  <si>
    <t>อยู่ระหว่างจัดทำ SPEC ใหม่เพื่อให้ได้ครุภัณฑ์ ที่มีประสิทธิภาพกับการใช้งาน</t>
  </si>
  <si>
    <t>อยู่ระหว่างเสนอ ผบช.ปส. อนุมัติ Spec เพื่อใช้ประกอบการจัดหา</t>
  </si>
  <si>
    <t>อยู่ระหว่าง ตร.ตรวจสอบ และพิจารณาเสนอ รอง นายกฯ อนุมัติซื้อ</t>
  </si>
  <si>
    <t>เรื่องอยู่ที่ สง.ผบ.ตร.ตรวจสอบและพิจารณาเสนอ รอง นรม.อนุมัติซื้อ</t>
  </si>
  <si>
    <t>อยู่ระหว่างการทบทวนการจัดซื้อ เสนอ ตร.</t>
  </si>
  <si>
    <t>กรมการอุตสาหกรรมทหารแจ้งว่าเป็นยุทธภัณฑ์ ต้องประมวลเรื่องขออนุมัติ ผบ.ตร. ให้ บช.ปส.เป็นหน่วยจัดหา</t>
  </si>
  <si>
    <t>ประกวดราคาครั้งที่ 2 ยังไม่มีผู้เสนอราคา</t>
  </si>
  <si>
    <t>วิธีพิเศษ...อยู่ระหว่างบริษัทยื่นเสนอราคา</t>
  </si>
  <si>
    <t>คณะกรรมการฯ วิธีพิเศษ..เห็นควรซื้อจาก บ.วินเพาเวอร์คอปอเรชั่น เป็นเงิน 205,330บาท (อยู่ระหว่างการขออนุมัติรองนายกรัฐมนตรี ในฐานะรัฐมนตรีเจ้าสังกัด)</t>
  </si>
  <si>
    <t>อยู่ระหว่างการขออนุมัติรองนายกรัฐมนตรี ในฐานะรัฐมนตรีเจ้าสังกัด</t>
  </si>
  <si>
    <t>วิธีพิเศษ..(1)เมื่อ 4 ส.ค.58 ขออนุมัติยกเว้นการปฏิบัติตามระเบียบ ก.ต.ช.ว่าด้วยการจัดหายุทธภัณฑ์ฯ โดยขออนุมัติ ตร.ให้ บช.ส.เป็นผู้ดำเนินการจัดซื้อ เนื่องจากเป็นยุทธภัณฑ์ (2) ตร.ได้อนุมัติ ลง 23 ก.ย.58ท้ายหนังสือ สกบ.ที่ 0008.423/3894 ลง 3 ก.ย.58ให้ บช.ส.เป็นผู้ดำเนินการจัดซื้อ (3)อยู่ระหว่างขอรับความเห็นชอบดำเนินการจัดซื้อ</t>
  </si>
  <si>
    <t>อยู่ระหว่างขอรับความเห็นชอบดำเนินการจัดซื้อ</t>
  </si>
  <si>
    <t>ร่างTOR เรียบร้อยแล้ว(อยู่ระหว่างนำร่างประกาศ และร่างเอกสารประกวดราคาอิเล็กทรอนิกส์ เผยแพร่ให้สาธารณชนเสนอแนะ วิจารณ์...ทาวเว็ปไซต์ของ บช.ส. และ กรมบัญชีกลาง)</t>
  </si>
  <si>
    <t xml:space="preserve"> อยู่ระหว่างยื่นซองเสนอราคา (ครบกำหนด วันที่ 25 พ.ย.2558)</t>
  </si>
  <si>
    <t xml:space="preserve"> ร่างTOR เรียบร้อยแล้ว(อยู่ระหว่างนำร่างประกาศ และร่างเอกสารประกวดราคาอิเล็กทรอนิกส์ เผยแพร่ให้สาธารณชนเสนอแนะ วิจารณ์...ทาวเว็ปไซต์ของ บช.ส. และ กรมบัญชีกลาง) </t>
  </si>
  <si>
    <t>อยู่ระหว่างยื่นซองเสนอราคา (ครบกำหนด วันที่ 25 พ.ย.2558)</t>
  </si>
  <si>
    <t>อยู่ระหว่างขอรับความเห็นชอบดำเนินการประกวดราคาฯ</t>
  </si>
  <si>
    <t>อยู่ระหว่างนำร่างประกาศ และร่างเอกสารประกวดราคาฯ ลงเผยแพร่ในเว็บไซต์ของกรมบัญชีกลาง ระหว่างวันที่ 18-26 พ.ย.58 เพื่อให้สาธารณะชนวิจารณ์ร่าง</t>
  </si>
  <si>
    <t>อยู่ระหว่างรอแบบรูปรายการจาก ยธ.สกบ.</t>
  </si>
  <si>
    <t xml:space="preserve"> - ได้รับแบบรูปรายการเรียบร้อยแล้ว เมื่อ 10 พ.ย.58 
 - อยู่ระหว่างคณะกรรมการกำหนดราคากลางก่อสร้าง </t>
  </si>
  <si>
    <t> - แต่งตั้งคณะกรรมการกำหนดราคากลางแล้ว เมื่อ 25 พ.ย.58
 - อยู่ระหว่างรอรับแบบรูปรายการฉบับสมบูรณ์ จาก ยธ.สกบ. คาดว่าจะได้รับแบบฯ ภายในสัปดาห์นี้ เพื่อจัดส่งให้คณะกรรมการกำหนดราคากลาง</t>
  </si>
  <si>
    <t>อยู่ระหว่างรอประมาณราคาจาก ยธ.จว.หนองคาย เพื่อจะส่งคณะกรรมการกำหนดราคาต่อไป</t>
  </si>
  <si>
    <t>อยู่ระหว่างเผยแพร่ประกาศประกวดราคา/ขายเอกสาร ระหว่างวันที่ 23 พ.ย.-1 ธ.ค.58 
ยื่นข้อเสนอ ในวันที่ 15 ธ.ค.2558</t>
  </si>
  <si>
    <t xml:space="preserve"> - ได้รับแบบรูปรายการเรียบร้อยแล้ว
 - อยู่ระหว่างการดำเนินการของคณะกรรมการกำหนดราคากลาง กำหนดให้มีการประชุมครั้งที่ 2 วันพุธที่ 2 ธ.ค.58</t>
  </si>
  <si>
    <t xml:space="preserve"> - ได้รับแบบรูปรายการและผังบริเวณจาก ยธ.สกบ. เมื่อวันที่ 23 พ.ย.58
 - ขณะนี้ได้ส่งแบบและผังดังกล่าวให้กับ ยธ.จว.เพื่อดำเนินการประมาณการราคาค่าก่อสร้างฯ ทั้งหมดอีกครั้ง</t>
  </si>
  <si>
    <t xml:space="preserve"> - ได้รับแบบรูปรายการ เมื่อ 24 พ.ย.58
 - อยู่ระหว่างคณะกรรมการกำหนดราคากลางงานก่อสร้าง</t>
  </si>
  <si>
    <t>อยู่ระหว่างนำร่างประกาศ/ร่างประกวดราคา ขึ้นเว็บไซต์กรมบัญชีกลาง ระหว่างวันที่ 20-26 พ.ย.58 เพื่อให้สาธารณะชนวิจารณ์ร่าง</t>
  </si>
  <si>
    <t xml:space="preserve">อยู่ระหว่ากำหนดคุณลักษณะเฉพาะในการจัดหา </t>
  </si>
  <si>
    <t> อยู่ระหว่ากำหนดคุณลักษณะเฉพาะในการจัดหา </t>
  </si>
  <si>
    <t>อยู่ระหว่ากำหนดคุณลักษณะเฉพาะในการจัดหา</t>
  </si>
  <si>
    <t>- ยื่นข้อเสนอละเสนอราคาทางระบบจัดซื้อจัดจ้างภาครัฐด้วยอิเล็กทรอนิกส์ ในวันที่ 4 ธ.ค.58 และวันที่  9 ธ.ค.59</t>
  </si>
  <si>
    <t>อยู่ระหว่างดำเนินการจัดหา</t>
  </si>
  <si>
    <t>อยู่ระหว่างประกาศสอบราคา กำหนดเปิดซอง 1 ธ.ค. 58</t>
  </si>
  <si>
    <t>เปิดซองเสนอราคาครั้งที่ 2 เมื่อ 25 พ.ย 58</t>
  </si>
  <si>
    <t>อยู่ระหว่างขออนุมัติจัดหา</t>
  </si>
  <si>
    <t>อยู่ระหว่างพิจารณาคุณสมบัติผู้ขาย</t>
  </si>
  <si>
    <t>อยู่ระหว่างการดำเนินการประกวดราคาอิเล็ก-ทรอนิกส์ (e-bidding) ครั้งที่ 2</t>
  </si>
  <si>
    <t>โอนงบประมาณให้ ทบ. จัดหา (เบิกแทนกัน)</t>
  </si>
  <si>
    <t> ประกาศผลการเสนอราคา 9 ธ.ค. 58 </t>
  </si>
  <si>
    <t xml:space="preserve"> เสนอราคา 1 ธ.ค. 58 </t>
  </si>
  <si>
    <t> ประกาศประกวดราคาในวันที่  19 พ.ย.58  </t>
  </si>
  <si>
    <t xml:space="preserve">ประกาศประกวดราคาในวันที่  23 พ.ย.58 </t>
  </si>
  <si>
    <t xml:space="preserve">รอลงนามในสัญญา  </t>
  </si>
  <si>
    <t>เสนอราคา 1 ธ.ค. 58</t>
  </si>
  <si>
    <t>เสนอราคา 4 ธ.ค. 58</t>
  </si>
  <si>
    <t> เสนอราคา 27 พ.ย. 58 </t>
  </si>
  <si>
    <t>เสนอราคา 30 พ.ย. 58</t>
  </si>
  <si>
    <t>พิจารณารูปแบบรายการ</t>
  </si>
  <si>
    <t>ขออนุมัติ ผบช. จัดหาวิธีพิเศษ</t>
  </si>
  <si>
    <t> รอลงนามในสัญญา </t>
  </si>
  <si>
    <t>วงเงินผูกพันข้ามปี / รอลงนามในสัญญา</t>
  </si>
  <si>
    <t xml:space="preserve">อยู่ระหว่างขออนุมัติเปลี่ยนแบบรูปรายการ </t>
  </si>
  <si>
    <t> อยู่ระหว่างขออนุมัติเปลี่ยนแบบรูปรายการ </t>
  </si>
  <si>
    <t>อยู่ระหว่าขออนุมัติเปลี่ยนแปลงแบบรูปรายการ</t>
  </si>
  <si>
    <t> อยู่ระหว่างขออนุมัติเปลี่ยนแปลงแบบรูปรายการ </t>
  </si>
  <si>
    <t xml:space="preserve">อยู่ระหว่างขออนุมัติเปลี่ยนแปลงแบบรูปรายการ </t>
  </si>
  <si>
    <t>ประกาศสอบราคา 26 พ.ย. - 3 ธ.ค. 58 และเปิดซองเสนอราคา 9 ธ.ค. 58</t>
  </si>
  <si>
    <t> อยู่ระหว่างประกาศสอบราคา  23 พ.ย. - 3 ธ.ค. 58 และจะเปิดซองเสนอราคา 4 ธ.ค. 58</t>
  </si>
  <si>
    <t xml:space="preserve"> คณะกรรมการกำหนดราคากลาง </t>
  </si>
  <si>
    <t xml:space="preserve">รอลงนามในสัญญา </t>
  </si>
  <si>
    <t xml:space="preserve"> อยู่ระหว่างดำเนินการจัดหา </t>
  </si>
  <si>
    <t>เสนอราคาเมื่อ 26 พ.ย. 58</t>
  </si>
  <si>
    <t>อยู่ระหว่างจัดทำผังและแบบรูปรายการ</t>
  </si>
  <si>
    <t>อยู่ระหว่างขอรับความเห็นชอบ</t>
  </si>
  <si>
    <t>ประกาศเชิญชวน</t>
  </si>
  <si>
    <t xml:space="preserve"> - ใช้คุณลักษณะเฉพาะ สพฐ.ตร. เลขที่ 16/2558 ผบช.สพฐ.ตร. อนุมัติ ลง 31 ส.ค. 58
 - คณะกรรมการกำหนดราคากลาง เป็นเงิน 5,500,000 บาท
 - ประกาศราคากลาง วันที่ 8 ต.ค. 58
 - ขอรับความเห็นชอบ วันที่ 2 - 7 ต.ค. 58 โดยวิธี e-bidding
 - ประกาศเชิญชวนการประกวดราคาฯ  วันที่ 15 - 21 ต.ค. 58
 - ยื่นเสนอราคา วันที่ 30 ต.ค.58
 - ขณะนี้อยู่ระหว่างการพิจารณาข้อวิจารณ์ของผู้วิจารณ์</t>
  </si>
  <si>
    <t xml:space="preserve"> - ประกาศร่างเอกสารประกวดราคาฯ วันที่ 8-15 ต.ค. 58 เพื่อให้สาธารณขนวิจารณ์
 - ประกาศเชิญชวนการประกวดราคาฯ  วันที่ 16 - 26 ต.ค. 58
 - ผลปรากฎว่า มีผู้วิจารณ์ร่างเอกสารฯ วันที่ 12 ต.ค. 58 แต่เจ้าหน้าที่พัสดุได้รับเอกสาร วันที่ 22 ต.ค. 58 เนื่องจากเป็นข้อผิดพลาดของทางราชการด้านการรับส่งเอกสารจึงได้ประกาศยกเลิกประกาศเชิญชวนครั้งนี้ ในวันที่ 26 ต.ค. 58
 - ขณะนี้อยู่ระหว่างการพิจารณาข้อวิจารณ์ของผู้วิจารณ์</t>
  </si>
  <si>
    <t xml:space="preserve"> - อยู่ระหว่างขอรับแบบแปลนอาคารและแบบรูปรายการ ตามแบบเลขที่ 8859/50 จาก ยธ.สกบ.</t>
  </si>
  <si>
    <t xml:space="preserve"> - ได้รับแบบแปลนอาคารและแบบรูปรายการ ตามแบบเลขที่ 8859/50 ลงวันที่ 17 พ.ย.58 จาก ยธ.สกบ. แล้ว เมื่อวันที่ 15 พ.ย.58 และส่งให้ พฐ.จว.น่าน เมื่อวันที่ 20 พ.ย. 58
 - อยู่ระหว่าง พฐ.จว.น่าน ดำเนินการในส่วนที่เกี่ยวข้องต่อไป</t>
  </si>
  <si>
    <t xml:space="preserve"> - อยู่ระหว่างแต่งตั้งคณะกรรมการกำหนดราคากลาง และ รอแบบ BOQ</t>
  </si>
  <si>
    <t>อยู่ระหว่างเรียกบริษัทลงนามในสัญญา</t>
  </si>
  <si>
    <t>อยู่ระหว่างเรียกบริษัทมาลงนามในสัญญา</t>
  </si>
  <si>
    <t>อยู่ระหว่าง การทำประชาพิจารณ์</t>
  </si>
  <si>
    <t>อยู่ระหว่างร่าง TOR</t>
  </si>
  <si>
    <t>  อยู่ระหว่างขั้นตอนคณะกรรมการกำหนดราคากลาง  </t>
  </si>
  <si>
    <t>  อยู่ระหว่างขออนุมัติใช้ TOR และกำหนดราคากลาง </t>
  </si>
  <si>
    <t>ขณะนี้ สส. ได้ทำหนังสือไปที่ สกบ.(ยธ) เพื่อขอแบบและกรรมการกำหนดราคากลาง     (อยู่ระหว่างรอหนังสือตอบกลับ) ส่วนอาคารเรือนแถวฯ จังหวัดพิษณุโลก (ศบส.6พล) และอาคารที่ทำการสงขลา (ฝสส.7 สส.) เป็นการก่อสร้างในพื้นที่อาคารเดิม ขณะนี้อยู่ระหว่าง คณะกรรมการของ สส. ร่วมกับโยธาจังหวัดประเมินราคากลางเพื่อจำหน่ายอาคารเดิม</t>
  </si>
  <si>
    <t>  - อยู่ระหว่างการแต่งตั้งคณะกรรมการกำหนดราคากลาง เพื่อประกวดราคา (E-Bidding)
 - สำหรับอาคารเรือนแถวจังหวัดพิษณุโลก ที่เป็นการก่อสร้างในพื้นที่อาคารเดิม กำหนดประกาศขายทอดตลาด 26 พ.ย. - 11 ธ.ค.58 และกำหนดเสนอราคา 14 ธ.ค.58 </t>
  </si>
  <si>
    <t>  - อยู่ระหว่างการแต่งตั้งคณะกรรมการกำหนดราคากลาง เพื่อประกวดราคา (E-Bidding)
 - สำหรับอาคารที่ทำการ ฝสส.7 สส. ที่เป็นการก่อสร้างในพื้นที่อาคารเดิม กำหนดประกาศขายทอดตลาด 27 พ.ย. - 14 ธ.ค.58 และกำหนดเสนอราคา 15 ธ.ค.58   </t>
  </si>
  <si>
    <t xml:space="preserve"> กำหนดประกาศเชิญชวน 15 ธ.ค.58 ebidding 22 ธ.ค.58 ลงนาม 30 ธ.ค.58 </t>
  </si>
  <si>
    <t xml:space="preserve"> อยู่ระหว่างพิจารณาปรับแก้การกำหนดคุณลักษณะเฉพาะ(บางรายการ) ให้สอดคล้องกับการออกแบบอาคารที่มีการปรับแก้ในเรื่องการประหยัดพลังงาน เนื่องจาการจัดซื้อต้องดำเนินการในภาพรวมสามารถผูกพันและลงนามได้ภายในไตรมาสที่ 1 </t>
  </si>
  <si>
    <t xml:space="preserve"> ประกาศเชิญชวน 9-17 พ.ย.58 เสนอราคา e-bidding   20 พ.ย.58 </t>
  </si>
  <si>
    <t> ลงนามในสัญญาวันที่ 29 ต.ค.58  
ส่งมอบวันที่ 24 พ.ย.58 อยู่ในขั้นตอนการตรวจรับ   </t>
  </si>
  <si>
    <t>  ลงนามในสัญญาวันที่ 29 ต.ค.58  
ส่งมอบวันที่ 24 พ.ย.58 อยู่ในขั้นตอนการตรวจรับ    </t>
  </si>
  <si>
    <t>  ประกาศเชิญชวนในอินเตอร์เน็ต 9 - 19 พ.ย.58  เสนอราคา  23 พ.ย.58    ลงนามในสัญญาภายใน 30 พ.ย.58      </t>
  </si>
  <si>
    <t>  ประกาศเชิญชวนในอินเตอร์เน็ต 9 - 19    พ.ย.58  เสนอราคา  23 พ.ย.58  ลงนามในสัญญาภายใน 30 พ.ย.58     </t>
  </si>
  <si>
    <t> ประกาศเชิญชวนในอินเตอร์เน็ต 9 - 19  พ.ย.58   เสนอราคา  23 พ.ย.58   ลงนามในสัญญาภายใน 30 พ.ย.58  </t>
  </si>
  <si>
    <t> ประกาศเชิญชวนในอินเตอร์เน็ต 9 - 19   พ.ย.58  เสนอราคา  23 พ.ย.58    ลงนามในสัญญาภายใน 30 พ.ย.58   </t>
  </si>
  <si>
    <t>  ประกาศเชิญชวนในอินเตอร์เน็ต 9 - 19   พ.ย.58  เสนอราคา  23 พ.ย.58   ลงนามในสัญญาภายใน 30 พ.ย.58   </t>
  </si>
  <si>
    <t>  ประกาศเชิญชวนในอินเตอร์เน็ต 9 - 19   พ.ย.58 เสนอราคา  23 พ.ย.58  ลงนามในสัญญาภายใน 30 พ.ย.58   </t>
  </si>
  <si>
    <t>  ประกาศเชิญชวนในอินเตอร์เน็ต 9 - 19  พ.ย.58  เสนอราคา  23 พ.ย.58    ลงนามในสัญญาภายใน 30 พ.ย.58   </t>
  </si>
  <si>
    <t>   - ประกาศเชิญชวนในอินเตอร์เน็ต 9 - 19 พ.ย.58  เสนอราคา  23 พ.ย.58 ลงนามในสัญญาภายใน 30 พ.ย.58  </t>
  </si>
  <si>
    <t>   - ประกาศเชิญชวนในอินเตอร์เน็ต 9 - 19 พ.ย.58   เสนออราคา  23 พ.ย.58   ลงนามในสัญญาภายใน 30 พ.ย.58  </t>
  </si>
  <si>
    <t>   - ประกาศเชิญชวนในอินเตอร์เน็ต 9 - 19 พ.ย.58     เสนอราคา  23 พ.ย.58   ลงนามในสัญญาภายใน 30 พ.ย.58  </t>
  </si>
  <si>
    <t xml:space="preserve"> กำหนดประกาศเชิญชวน 8-16 ธ.ค.58  e-bidding 21 ธ.ค.58 </t>
  </si>
  <si>
    <t>ประกาศเชิญชวนในอินเตอร์เน็ต  8 - 16 ธ.ค.58  เสนอราคา  21 ธ.ค.58   ลงนามในสัญญาภายใน 30 ธ.ค.58 </t>
  </si>
  <si>
    <t xml:space="preserve"> - ประกาศเชิญชวนในอินเตอร์เน็ต 8 - 16 ธ.ค.58 
- เสนอราคา  21 ธ.ค.58  
- ลงนามในสัญญาภายใน 30 ธ.ค.58</t>
  </si>
  <si>
    <t xml:space="preserve"> - ประกาศเชิญชวนในอินเตอร์เน็ต 8 - 16 ธ.ค.58
- เสนอราคา  21 ธ.ค.58 
- ลงนามในสัญญาภายใน 30 ธ.ค.58</t>
  </si>
  <si>
    <t xml:space="preserve"> กำหนดประกาศเชิญชวน 16-24 พ.ย.58  e-bidding 27 พ.ย.58 </t>
  </si>
  <si>
    <t xml:space="preserve"> - ประกาศเชิญชวนในอินเตอร์เน็ต 16 - 24 ธ.ค.58 
- เสนอราคา  27 พ.ย.58  
- ลงนามในสัญญาภายใน 15 ธ.ค.58</t>
  </si>
  <si>
    <t xml:space="preserve"> - ประกาศเชิญชวนในอินเตอร์เน็ต 8 - 16 ธ.ค.58 
- เสนอราคา  21 ธ.ค.58
- ลงนามในสัญญาภายใน 30 ธ.ค.58</t>
  </si>
  <si>
    <t xml:space="preserve"> ประกาศเชิญชวนในอินเตอร์เน็ต 19 - 26 ธ.ค.58  เสนอราคา  8 พ.ย.58      ลงนามในสัญญาภายใน 15 ธ.ค.58</t>
  </si>
  <si>
    <t> อยู่ระหว่างจัดทำคุณลักษณะเฉพาะ สำหรับรายการที่มีการเปลี่ยนแปลงเพื่อให้ศูนย์ฯมีความทันสมัยเหมาะสมสำหรับการใช้งานมากยิ่งขี้น </t>
  </si>
  <si>
    <t> อยู่ระหว่างจัดหาฯ </t>
  </si>
  <si>
    <t>   อยู่ระหว่างการจัดหา สามารถลงนามในสัญญาและเบิกจ่ายได้ภายในเดือน ธ.ค.2558   </t>
  </si>
  <si>
    <t>อยู่ระหว่างปรับลดเหลือ 5 คัน (จากคันละ 99,500 บาท เป็น คันละ 149,800 บาท)</t>
  </si>
  <si>
    <t xml:space="preserve"> อยู่ระหว่างปรับลดจำนวนเหลือจำนวน  2 เครื่อง ( จากเครื่องละ 15,000 บาท เป็นเครืองละ 22,500 บาท) </t>
  </si>
  <si>
    <t>  - 1 ธ.ค.58 ผบก.อก.สกบ.ให้ความเห็นชอบ
 - 1 - 14 ธ.ค.58 ประกาศสอบราคา
 - 16 ธ.ค.58 เปิดซองเสนอราคา
 - สามารถผูกพันสัญญาได้ภายใน 25 ธ.ค.58
 </t>
  </si>
  <si>
    <t xml:space="preserve"> - 25 พ.ย.58 ผบก.อก.สกบ.ให้ความเห็นชอบ
 - 25พ.ย.- 8ธ.ค.58 ประกาศสอบราคา
 - 9 ธ.ค.58 เปิดซองสอบราคา
 - สามารถผูกพันสัญญาได้ภายใน 21 ธ.ค.58</t>
  </si>
  <si>
    <t xml:space="preserve"> - 30 พ.ย.58 เสนอขอรับความเห็นชอบ
 - สามารถผูกพันสัญญาได้ภายใน 25 ธ.ค.58</t>
  </si>
  <si>
    <t xml:space="preserve">  - 30 พ.ย.58 เสนอ ผบก.ยธ. ขอรับความเห็นชอบ 
 - สามารถผูกพันสัญญาได้ภายใน 25 ธ.ค.58</t>
  </si>
  <si>
    <t xml:space="preserve"> - สามารถลงนามใบสั่งซื้อได้ภายใน 25 ธ.ค.58</t>
  </si>
  <si>
    <t xml:space="preserve"> -  24 พ.ย. 58 ผบก.สพ. เห็นชอบสอบราคา
 - 25 พ.ย. - 4 ธ.ค.58  ยื่นซอง
 - 9 ธ.ค.58 เปิดซองสอบราคา
 - 15 ธ.ค.58  คกก.รายงาน
 - 18 ธ.ค.58  ขออนุมัติซื้อ
 - 21 - 28 ธ.ค.58  ลงนามสัญญา </t>
  </si>
  <si>
    <t xml:space="preserve"> - รอดำเนินการจัดหารวมกับรายการโครงการอาวุธปืน 55,000 กระบอก ที่นำเข้า ครม.</t>
  </si>
  <si>
    <t>งบผูกพัน ปี 58
- 27 พ.ย.58 ผบ.ตร.อนุมัติให้ยกเลิกการจัดซื้อโครงการจัดหาอากาศยานช่วยเหลือทางการแพทย์เพื่อเพิ่มประสิทธิภาพด้านความปลอดภัยนักท่องเที่ยว ครั้งที่ 1 และให้ความเห็นชอบดำเนินการจัดซื้อโดยวิธีพิเศษ อยู่ระหว่างประธาน คกก.นัดประชุมพิจารณาผล</t>
  </si>
  <si>
    <t xml:space="preserve"> - จัดซื้อรวมกับ  ภ.7  และ  บช.ก.
 - 4 พ.ย. 58  เสนอ ผบก.สพ. ให้ความเห็นชอบจัดซื้อ  จาก อผศ.  โดยวิธีกรณีพิเศษ
- 12 พ.ย. 58  แจ้ง อผศ. ให้เสนอราคา
 - 1 ธ.ค.58  ขออนุมัติซื้อ
 - 4 ธ.ค. 58  ลงนามใบสั่งซื้อ</t>
  </si>
  <si>
    <t xml:space="preserve"> - 9 พ.ย. 58  เสนอ ผบช.สกบ. ให้ความเห็นชอบจัดซื้อโดยวิธีพิเศษ   รอง ผบช.สกบ.(2)  ให้ชี้แจงรายละเอียดเพิ่มเติม
 - 25 พ.ย. 58   สพ. ชี้แจ้งรายละเอียดเพิ่มเติมเสนอ  ผบช.สกบ.
  - 27 พ.ย. 58  ผบช.สกบ. เห็นชอบ
 - 30 พ.ย.58  แจ้งคณะกรรมการ ฯ ดำเนินการ
 - 11  ธ.ค.58  คกก.รายงานผลการจัดซื้อ
 - 16 ธ.ค. 58  เสนอขออนุมัติซื้อ
 - 18  ธ.ค. 58  ผบช.สกบ. อนุมัติซื้อ
 - 21 - 29  ธ.ค. 58  ลงนามสัญญา</t>
  </si>
  <si>
    <t xml:space="preserve">  - 9 พ.ย. 58  เสนอ ผบช.สกบ. ให้ความเห็นชอบจัดซื้อ โดยวิธีพิเศษ   รอง ผบช.สกบ.(2)  ให้ชี้แจงรายละเอียดเพิ่มเติม
- 25 พ.ย. 58   สพ. ชี้แจ้งรายละเอียดเพิ่มเติมเสนอ  ผบช.สกบ.
  - 27 พ.ย. 58  ผบช.สกบ. เห็นชอบ
 - 30 พ.ย.58  แจ้งคณะกรรมการ ฯ ดำเนินการ
 - 11  ธ.ค.58  คกก.รายงานผลการจัดซื้อ
 - 16 ธ.ค. 58 เสนอขออนุมัติซื้อ
 - 18  ธ.ค. 58  ผบช.สกบ. อนุมัติซื้อ
  - 19 -  30 ธ.ค. 58  ลงนามสัญญา</t>
  </si>
  <si>
    <t>- 9 พ.ย. 58  เสนอ ผบช.สกบ. ให้ความเห็นชอบจัดซื้อ โดยวิธีพิเศษ   รอง ผบช.สกบ.(2)  ให้ชี้แจงรายละเอียดเพิ่มเติม
- 25 พ.ย. 58   สพ. ชี้แจ้งรายละเอียดเพิ่มเติมเสนอ  ผบช.สกบ.
  - 27 พ.ย. 58  ผบช.สกบ. เห็นชอบ
 - 30 พ.ย.58  แจ้งคณะกรรมการ ฯ ดำเนินการ
 - 11  ธ.ค.58  คกก.รายงานผลการจัดซื้อ
 - 16 ธ.ค. 58  เสนอขออนุมัติซื้อ
 - 18  ธ.ค. 58  ผบช.สกบ. อนุมัติซื้อ
  - 21 -  30  ธ.ค. 58  ลงนามสัญญา</t>
  </si>
  <si>
    <t xml:space="preserve">  - 6 พ.ย. 58  ผบก.สพ.  เป็นชอบจัดซื้อโดยวิธีพิเศษ
  - 11 พ.ย. 58  แจ้ง คกก. ดำเนินการ
 - 19 พ.ย. 58 คกก.  รายงานผลการดำเนินงาน
 - 26  พ.ย.58   เสนอขออนุมัติซื้อ
 - 28 พย. - 9 ธ.ค. 58  ลงนามสัญญา
</t>
  </si>
  <si>
    <t xml:space="preserve">  - 16 พ.ย.58  ผบก.สพ. เห็นชอบให้จัดซื้อโดยวิธีพิเศษ
 - 19 พ.ย.58  แจ้ง คกก.จัดซื้อ ฯ ดำเนินการตามระเบียบฯ
- 30 พ.ย. 58  ขออนุมัติซื้อ
- 3  -  16  ธ.ค. 58  ลงนามสัญญา</t>
  </si>
  <si>
    <t xml:space="preserve">   - 26 พ.ย. 58  ผบก.สพ. เห็นชอบซื้อโดยตกลงราคา
- 27 ธ.ค.-16 ธ.ค.58    ให้ผู้ขายเสนอราคา
- 17 ธ.ค.58 ตรวจเอกสารและเงื่อนไขของผู้เสนอราคา
- 18 ธ.ค.58 ขออนุมัติซื้อ
- 21 - 30 ธ.ค.58 ลงนามสัญญา</t>
  </si>
  <si>
    <t xml:space="preserve">  - 26 พ.ย. 58  เสนอขอรับเห็นชอบซื้อโดยวิธีพิเศษ
  - 26 พ.ย.58  แจ้ง คกก.
 - 8 ธ.ค. 58  คกก.รายงานผลการจัดซื้อ
 - 9  ธ.ค. 58  ขออนุมัติซื้อ
 - 14 - 22  ธ.ค. 58 ลงนามสัญญา</t>
  </si>
  <si>
    <t xml:space="preserve">   - 25 พ.ย. 58  ผบก.สพ. เห็นชอบซื้อโดยตกลงราคา
 -  26 พ.ย.- 15 ธ.ค.58   ให้ผู้ขายเสนอราคา
 -  16 ธ.ค.58   ตรวจเอกสารและเงื่อนไขของผู้เสนอราคา
  - 17 ธ.ค.58 ขออนุมัติซื้อ
  - 18 - 30 ธ.ค. 58 ลงนามสัญญา</t>
  </si>
  <si>
    <t>- 26 พ.ย. 58  ผบก.สพ. เห็นชอบซื้อโดยตกลงราคา
- 27 พ.ย. - 16 ธ.ค.58 ให้ผู้ขายเสนอราคา
- 17  ธ.ค.58 ตรวจเอกสารและเงื่อนไขของผู้เสนอราคา
- 18 ธ.ค.58   ขออนุมัติซื้อ
- 21 - 30  ธ.ค.58    ลงนามสัญญา </t>
  </si>
  <si>
    <t>- 26 พ.ย. 58  ผบก.สพ. เห็นชอบซื้อโดยตกลงราคา
- 26 พ.ย. - 16 ธ.ค.58  ให้ผู้ขายเสนอราคา
-  17  ธ.ค.58 ตรวจเอกสารและเงื่อนไขของผู้เสนอราคา
- 18 ธ.ค.58 ขออนุมัติซื้อ
- 21 - 30  ธ.ค.58 ลงนามสัญญา</t>
  </si>
  <si>
    <t>- 24 พ.ย. 58  เสนอขอรับเห็นชอบซื้อโดยวิธีพิเศษ
- 26 พ.ย.58  แจ้ง คกก.
- 9 ธ.ค. 58  คกก.รายงานผล
- 11  ธ.ค. 58 ขออนุมัติซื้อ
- 14 - 22  ธ.ค. 58  ลงนามสัญญา</t>
  </si>
  <si>
    <t>- 26 พ.ย. 58  เสนอขอรับเห็นชอบซื้อโดยตกลงราคา
- 27 พ.ย.-16 ธ.ค.58 ให้ผู้ขายเสนอราคา
- 17 ธ.ค.58  ตรวจเอกสารและเงื่อนไขของผู้เสนอราคา
- 18 ธ.ค.58  ขออนุมัติซื้อ
- 21 - 30 ธ.ค.58 ลงนามสัญญา</t>
  </si>
  <si>
    <t>- 24 พ.ย. 58  เสนอขอรับเห็นชอบซื้อโดยตกลงราคา
- 25 พ.ย.-14 ธ.ค.58      ให้ผู้ขายเสนอราคา
- 15 ธ.ค.58  ตรวจเอกสารและเงื่อนไขของผู้เสนอราคา
- 17 ธ.ค.58 ขออนุมัติซื้อ
- 21 - 30 ธ.ค.58      ลงนามสัญญา
  </t>
  </si>
  <si>
    <t>- 24 พ.ย. 58  เสนอขอรับเห็นชอบซื้อโดยตกลงราคา
- 25 พ.ย.-14 ธ.ค.58 ให้ผู้ขายเสนอราคา
- 15 ธ.ค.58  ตรวจเอกสารและเงื่อนไขของผู้เสนอราคา
- 17 ธ.ค.58 ขออนุมัติซื้อ
- 18 - 30 ธ.ค.58  ลงนามสัญญา</t>
  </si>
  <si>
    <t>- 25 พ.ย. 58  เสนอขอรับเห็นชอบซื้อโดยตกลงราคา
- 26 พ.ย.-16 ธ.ค.58 ให้ผู้ขายเสนอราคา
- 17 ธ.ค.58  ตรวจเอกสารและเงื่อนไขของผู้เสนอราคา
- 18 ธ.ค.58 ขออนุมัติซื้อ
- 21 - 30 ธ.ค.58 ลงนามสัญญา</t>
  </si>
  <si>
    <t>- 25 พ.ย. 58  เสนอขอรับเห็นชอบซื้อโดยตกลงราคา
- 26 พ.ย.-16 ธ.ค.58 ให้ผู้ขายเสนอราคา
- 17 ธ.ค.58  ตรวจเอกสารและเงื่อนไขของผู้เสนอราคา
- 18 ธ.ค.58 ขออนุมัติซื้อ
- 21 - 30 ธ.ค.58  ลงนามสัญญา</t>
  </si>
  <si>
    <t xml:space="preserve">    อยู่ระหว่างดำเนินการขออนุมัติ ตร.  ให้ สกบ. เป็นหน่วยจัดหาและแจกจ่าย</t>
  </si>
  <si>
    <t xml:space="preserve"> - ตร. อนุมัติ ลง 10 พ.ย.58 ให้ สกบ.เป็นหน่วยจัดหาและแจกจ่าย                           - สยศ.ตร. โอนงบประมาณให้ สกบ. เมื่อ 16 พ.ย.58   และมีหนังสือแจ้ง สกบ.ทราบ เมื่อ 19 พ.ย.58</t>
  </si>
  <si>
    <t> -ภ.7 ได้มีหนังสือภึง ผบก.สพ.ที่ 0022.142/6058 ลง 24 ส.ค.58 ให้สรรพวุธ ดำเนินการจัดหาให้ เนื่องจาก ภ.7 ไม่สามารถจัดหาได้ซึ่งไม่อยู่ในอำนาจของ ภ.7 </t>
  </si>
  <si>
    <t>-ภ.7 ได้มีหนังสือภึง ผบก.สพ.ที่ 0022.142/6058 ลง 24 ส.ค.58 ให้สรรพวุธ ดำเนินการจัดหาให้ เนื่องจาก ภ.7 ไม่สามารถจัดหาได้ซึ่งไม่อยู่ในอำนาจของ ภ.7 และได้โอนเงินงบประมาณแล้วเมื่อวันที่ 9 พ.ย.58</t>
  </si>
  <si>
    <t xml:space="preserve"> - สามารถผูกพันสัญญาได้ภายใน  ธ.ค.58</t>
  </si>
  <si>
    <t xml:space="preserve"> - สามารถผูกพันสัญญาได้ภายใน 29 ธ.ค.58</t>
  </si>
  <si>
    <t xml:space="preserve"> - 25 ธ.ค.58 จัดทำแบบเสร็จเรียบร้อย
- สามารถผูกพันสัญญาได้ภายในไตรมาส 2</t>
  </si>
  <si>
    <t xml:space="preserve"> - 30 พ.ย.58 เสนอแต่งตั้ง คกก.กำหนดราคากลาง
- กระบวนการจัดจ้างใช้เวลาในการดำเนินการประมาณ 60 วัน
- สามารถผูกพันสัญญาได้ภายใน มี.ค.59</t>
  </si>
  <si>
    <t xml:space="preserve"> - 4 ธ.ค.58 จัดทำรูปแบบรายการเสร็จ
- 7 ธ.ค.58 แต่งตั้ง คกก.กำหนดราคากลาง
- กระบวนการจัดจ้างใช้เวลาในการดำเนินการประมาณ 60 วัน
- สามารถผูกพันสัญญาได้ภายใน ก.พ.59</t>
  </si>
  <si>
    <t xml:space="preserve"> - 4 ธ.ค.58 คกก.รายงานผลการกำหนดราคากลาง
- กระบวนการจัดจ้างใช้เวลาในการดำเนินการประมาณ 60 วัน
- สามารถผูกพันสัญญาได้ภายใน มี.ค.59</t>
  </si>
  <si>
    <t>อยู่ระหว่างรอรูปแบบรายการจาก ยธ.</t>
  </si>
  <si>
    <t>อยู่ระหว่างแต่งตั้งคณะกรรมการกำหนดราคากลาง</t>
  </si>
  <si>
    <t xml:space="preserve"> อยู่ระหว่างขอรับความเห็นชอบในการประกวดราคา โดยวิธีประกวดราคาอิเล็กทรอนิกส์ (Electronic Bidding : e – bidding) </t>
  </si>
  <si>
    <t xml:space="preserve">  กม. ขอรับความเห็นชอบ จาก ผบก. </t>
  </si>
  <si>
    <t> กม. ขออนุมัติจัดซื้อจาก ผบก.  </t>
  </si>
  <si>
    <t>1. กม. ขออนุมัติจัดซื้อ จาก ผบก. 
2. คพ.  ส่งมอบของแล้ว อยู่ระหว่างทำ PO  
3. อฎ.  รอเบิกจ่าย เนื่องจากรอรหัสกิจกรรมย่อย (ก.การใช้เทคโนโลยี)               </t>
  </si>
  <si>
    <t>ขอรับความเห็นชอบ จาก ผบก. (คด.)</t>
  </si>
  <si>
    <t> อฎ. ส่งมอบของแล้ว  </t>
  </si>
  <si>
    <t>อฎ.  รอเบิกจ่าย เนื่องจากรอรหัสกิจกรรมย่อย (ก.การใช้เทคโนโลยี)         </t>
  </si>
  <si>
    <t>1. กม. ขอรับความเห็นชอบ จาก ผบก.    
2. คพ. ผบก. ลงนามอนุมัติจัดซื้อ วันที่ 5 พ.ย.58  
3. อฎ. ส่งมอบของแล้ว   </t>
  </si>
  <si>
    <t>คด. ส่งของเรียบร้อยแล้ว อยู่ระหว่างการเบิกจ่าย เนื่องจากรอหรัสกิจกรรมย่อย   (ก. การใช้เทคโนโลยี)</t>
  </si>
  <si>
    <t xml:space="preserve">สบส. อยู่ระหว่างร่างประกาศประกวดราคา </t>
  </si>
  <si>
    <t xml:space="preserve"> สบส. ลง ประกาศวันที่ 23 พ.ย.58 </t>
  </si>
  <si>
    <t>สบส. อยู่ระหว่างการขอเปลี่ยนแปลงรูปแบบสนามฟุตบอลฯ ต่อสำนักงบประมาณ  </t>
  </si>
  <si>
    <t>สบส. ประกาศในระบบ E-bidding อยู่ระหว่างขอรับแบบ    </t>
  </si>
  <si>
    <t>อยู่ระหว่างประกาศสอบราคา</t>
  </si>
  <si>
    <t>ขออนุมัติ</t>
  </si>
  <si>
    <t>รอลงนาม</t>
  </si>
  <si>
    <t> ขออนุมัติ </t>
  </si>
  <si>
    <t> อยู่ในระหว่างคณะกรรมการกำหนดคุณลักษณะเฉพาะ </t>
  </si>
  <si>
    <t>รอราคากลาง จากคณะกรรมการกำหนดราคากลางฯ</t>
  </si>
  <si>
    <t>  อยู่ระหว่างดำเนินการเสนอ กวพ. ยกเว้นวิธีการจัดหา  </t>
  </si>
  <si>
    <t>อยู่ระหว่างปรับปรุง TOR ตามที่มีผู้วิจารณ์</t>
  </si>
  <si>
    <t>มีข้อเสนอแนะในการลงประกาศร่างฯ จึงกลับไปให้คณะกรรมการกำหนดคุณลักษณะเฉพาะฯ พิจารณาข้อเสนอแนะ ดังกล่าว</t>
  </si>
  <si>
    <t>มีผู้เสนอราคารายเดียว/อยู่ระหว่างดำเนินการใหม่ เสนอราคาวันที่ 13 พ.ย.58</t>
  </si>
  <si>
    <t>อยู่ระหว่างรอผล คณะกรรมการพิจารณาผลฯ ส่งรายงาน</t>
  </si>
  <si>
    <t>อยู่ระหว่างดำเนินการเสนอ กวพ.ยกเว้นวิธีการจัดหา</t>
  </si>
  <si>
    <t>อยู่ระหว่างคณะกรรมการพิจารณาผลการเสนอราคา</t>
  </si>
  <si>
    <t>อยู่ระหว่างประกาศ</t>
  </si>
  <si>
    <t>อยู่ระหว่างเสนอราคาในวันที่ 30 พ.ย. 58</t>
  </si>
  <si>
    <t>อยู่ระหว่างขอให้ ยธ.ปรับแบบ ให้อยู่ในวงเงินงบประมาณ</t>
  </si>
  <si>
    <t>อยู่ระหว่างประกาศฯ กำหนดเสนอราคาวันที่ 16 พ.ย.58</t>
  </si>
  <si>
    <t> เสนอขออนุมัติดำเนินการ </t>
  </si>
  <si>
    <t>หน่วยที่มีรายการลงนามในสัญญาแล้ว แต่ยังไม่บันทึก PO
ข้อมูล ณ วันที่ 25 พ.ย.58</t>
  </si>
  <si>
    <t xml:space="preserve">ความก้าวหน้า/ปัญหา 
ประชุม (ระดับ ตร.) ครั้งที่ 3/59
วันที่ 8 ม.ค.59 </t>
  </si>
  <si>
    <t>สรุปรายการงบลงทุนหน่วยต่างๆ ในสังกัด ตร. ปีงบประมาณ 2559</t>
  </si>
  <si>
    <t>ไม่เกิน 2 ลบ.</t>
  </si>
  <si>
    <t>2 ลบ. - 500 ลบ.</t>
  </si>
  <si>
    <t>มากกว่า 500 ลบ.</t>
  </si>
  <si>
    <t>รายงาน ณ :  25 ธ.ค.58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</si>
</sst>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-* #,##0.000_-;\-* #,##0.000_-;_-* &quot;-&quot;??_-;_-@_-"/>
    <numFmt numFmtId="190" formatCode="_-* #,##0.0000_-;\-* #,##0.0000_-;_-* &quot;-&quot;??_-;_-@_-"/>
    <numFmt numFmtId="191" formatCode="_-* #,##0_-;\-* #,##0_-;_-* &quot;-&quot;?_-;_-@_-"/>
    <numFmt numFmtId="192" formatCode="#,##0_ ;\-#,##0\ "/>
  </numFmts>
  <fonts count="49" x14ac:knownFonts="1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4"/>
      <name val="AngsanaUPC"/>
      <family val="1"/>
    </font>
    <font>
      <sz val="10"/>
      <name val="Arial"/>
      <family val="2"/>
    </font>
    <font>
      <sz val="8"/>
      <name val="Arial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i/>
      <sz val="16"/>
      <name val="TH SarabunPSK"/>
      <family val="2"/>
    </font>
    <font>
      <i/>
      <sz val="16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24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0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0"/>
      <color indexed="8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9"/>
      <color indexed="8"/>
      <name val="TH SarabunPSK"/>
      <family val="2"/>
    </font>
    <font>
      <b/>
      <sz val="8"/>
      <color indexed="8"/>
      <name val="TH SarabunPSK"/>
      <family val="2"/>
    </font>
    <font>
      <b/>
      <sz val="10"/>
      <color theme="1"/>
      <name val="TH SarabunPSK"/>
      <family val="2"/>
    </font>
    <font>
      <b/>
      <sz val="9"/>
      <color theme="1"/>
      <name val="TH SarabunPSK"/>
      <family val="2"/>
    </font>
    <font>
      <b/>
      <sz val="13.5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3"/>
      <color indexed="8"/>
      <name val="TH SarabunPSK"/>
      <family val="2"/>
    </font>
    <font>
      <b/>
      <sz val="24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sz val="15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9" fillId="0" borderId="0"/>
  </cellStyleXfs>
  <cellXfs count="820">
    <xf numFmtId="0" fontId="0" fillId="0" borderId="0" xfId="0"/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187" fontId="7" fillId="0" borderId="0" xfId="7" applyNumberFormat="1" applyFont="1" applyBorder="1"/>
    <xf numFmtId="43" fontId="7" fillId="0" borderId="0" xfId="7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87" fontId="7" fillId="0" borderId="1" xfId="7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3" fontId="7" fillId="0" borderId="1" xfId="7" applyFont="1" applyFill="1" applyBorder="1" applyAlignment="1">
      <alignment vertical="center" wrapText="1"/>
    </xf>
    <xf numFmtId="43" fontId="7" fillId="0" borderId="1" xfId="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187" fontId="7" fillId="0" borderId="1" xfId="7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7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3" fontId="7" fillId="0" borderId="0" xfId="7" applyFont="1" applyFill="1" applyBorder="1" applyAlignment="1">
      <alignment horizontal="center" vertical="center" wrapText="1"/>
    </xf>
    <xf numFmtId="187" fontId="7" fillId="0" borderId="0" xfId="7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187" fontId="6" fillId="0" borderId="0" xfId="7" applyNumberFormat="1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7" fillId="2" borderId="0" xfId="0" applyFont="1" applyFill="1" applyBorder="1"/>
    <xf numFmtId="187" fontId="7" fillId="0" borderId="1" xfId="7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/>
    </xf>
    <xf numFmtId="187" fontId="8" fillId="0" borderId="1" xfId="7" applyNumberFormat="1" applyFont="1" applyFill="1" applyBorder="1" applyAlignment="1">
      <alignment horizontal="center" vertical="center" wrapText="1"/>
    </xf>
    <xf numFmtId="43" fontId="8" fillId="0" borderId="1" xfId="7" applyFont="1" applyFill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center"/>
    </xf>
    <xf numFmtId="0" fontId="10" fillId="0" borderId="0" xfId="0" applyFont="1" applyAlignment="1"/>
    <xf numFmtId="43" fontId="11" fillId="0" borderId="0" xfId="7" applyFont="1"/>
    <xf numFmtId="0" fontId="11" fillId="0" borderId="0" xfId="0" applyFont="1"/>
    <xf numFmtId="43" fontId="10" fillId="0" borderId="0" xfId="7" applyFont="1"/>
    <xf numFmtId="0" fontId="10" fillId="0" borderId="0" xfId="0" applyFont="1"/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187" fontId="20" fillId="0" borderId="3" xfId="0" applyNumberFormat="1" applyFont="1" applyBorder="1" applyAlignment="1">
      <alignment horizontal="center"/>
    </xf>
    <xf numFmtId="0" fontId="20" fillId="0" borderId="4" xfId="0" applyFont="1" applyBorder="1"/>
    <xf numFmtId="0" fontId="20" fillId="0" borderId="5" xfId="0" applyFont="1" applyBorder="1"/>
    <xf numFmtId="187" fontId="20" fillId="0" borderId="5" xfId="7" applyNumberFormat="1" applyFont="1" applyBorder="1"/>
    <xf numFmtId="187" fontId="20" fillId="0" borderId="0" xfId="7" applyNumberFormat="1" applyFont="1"/>
    <xf numFmtId="187" fontId="20" fillId="0" borderId="0" xfId="0" applyNumberFormat="1" applyFont="1"/>
    <xf numFmtId="0" fontId="20" fillId="0" borderId="0" xfId="0" applyFont="1"/>
    <xf numFmtId="0" fontId="21" fillId="0" borderId="6" xfId="0" applyFont="1" applyBorder="1"/>
    <xf numFmtId="0" fontId="21" fillId="0" borderId="7" xfId="0" applyFont="1" applyBorder="1"/>
    <xf numFmtId="187" fontId="21" fillId="0" borderId="7" xfId="7" applyNumberFormat="1" applyFont="1" applyBorder="1"/>
    <xf numFmtId="187" fontId="21" fillId="0" borderId="0" xfId="7" applyNumberFormat="1" applyFont="1"/>
    <xf numFmtId="43" fontId="21" fillId="0" borderId="0" xfId="0" applyNumberFormat="1" applyFont="1"/>
    <xf numFmtId="0" fontId="21" fillId="0" borderId="0" xfId="0" applyFont="1"/>
    <xf numFmtId="0" fontId="21" fillId="0" borderId="8" xfId="0" applyFont="1" applyBorder="1"/>
    <xf numFmtId="0" fontId="21" fillId="0" borderId="9" xfId="0" applyFont="1" applyBorder="1"/>
    <xf numFmtId="187" fontId="21" fillId="0" borderId="9" xfId="7" applyNumberFormat="1" applyFont="1" applyBorder="1"/>
    <xf numFmtId="0" fontId="20" fillId="0" borderId="10" xfId="0" applyFont="1" applyBorder="1"/>
    <xf numFmtId="0" fontId="20" fillId="0" borderId="11" xfId="0" applyFont="1" applyBorder="1"/>
    <xf numFmtId="187" fontId="20" fillId="0" borderId="11" xfId="7" applyNumberFormat="1" applyFont="1" applyBorder="1"/>
    <xf numFmtId="43" fontId="20" fillId="0" borderId="0" xfId="0" applyNumberFormat="1" applyFont="1"/>
    <xf numFmtId="0" fontId="20" fillId="0" borderId="6" xfId="0" applyFont="1" applyBorder="1"/>
    <xf numFmtId="0" fontId="20" fillId="0" borderId="7" xfId="0" applyFont="1" applyBorder="1"/>
    <xf numFmtId="187" fontId="20" fillId="0" borderId="7" xfId="7" applyNumberFormat="1" applyFont="1" applyBorder="1"/>
    <xf numFmtId="188" fontId="21" fillId="0" borderId="0" xfId="7" applyNumberFormat="1" applyFont="1"/>
    <xf numFmtId="188" fontId="20" fillId="0" borderId="0" xfId="7" applyNumberFormat="1" applyFont="1"/>
    <xf numFmtId="187" fontId="22" fillId="0" borderId="0" xfId="0" applyNumberFormat="1" applyFont="1"/>
    <xf numFmtId="43" fontId="22" fillId="0" borderId="0" xfId="0" applyNumberFormat="1" applyFont="1"/>
    <xf numFmtId="191" fontId="20" fillId="0" borderId="0" xfId="0" applyNumberFormat="1" applyFont="1"/>
    <xf numFmtId="0" fontId="12" fillId="0" borderId="0" xfId="0" applyFont="1"/>
    <xf numFmtId="43" fontId="12" fillId="0" borderId="0" xfId="7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/>
    <xf numFmtId="187" fontId="10" fillId="0" borderId="12" xfId="7" applyNumberFormat="1" applyFont="1" applyBorder="1" applyAlignment="1">
      <alignment horizontal="center"/>
    </xf>
    <xf numFmtId="43" fontId="10" fillId="0" borderId="12" xfId="7" applyFont="1" applyBorder="1" applyAlignment="1">
      <alignment horizontal="center"/>
    </xf>
    <xf numFmtId="0" fontId="10" fillId="0" borderId="13" xfId="0" applyFont="1" applyBorder="1"/>
    <xf numFmtId="43" fontId="10" fillId="0" borderId="13" xfId="7" applyFont="1" applyBorder="1" applyAlignment="1">
      <alignment horizontal="center"/>
    </xf>
    <xf numFmtId="43" fontId="11" fillId="0" borderId="0" xfId="0" applyNumberFormat="1" applyFont="1"/>
    <xf numFmtId="0" fontId="9" fillId="0" borderId="0" xfId="0" applyFont="1" applyBorder="1"/>
    <xf numFmtId="187" fontId="9" fillId="0" borderId="14" xfId="7" applyNumberFormat="1" applyFont="1" applyBorder="1"/>
    <xf numFmtId="187" fontId="21" fillId="0" borderId="0" xfId="0" applyNumberFormat="1" applyFont="1"/>
    <xf numFmtId="0" fontId="10" fillId="0" borderId="15" xfId="0" applyFont="1" applyBorder="1" applyAlignment="1">
      <alignment horizontal="center" vertical="center"/>
    </xf>
    <xf numFmtId="43" fontId="10" fillId="0" borderId="7" xfId="7" applyFont="1" applyBorder="1" applyAlignment="1">
      <alignment horizontal="center"/>
    </xf>
    <xf numFmtId="187" fontId="10" fillId="0" borderId="6" xfId="7" applyNumberFormat="1" applyFont="1" applyBorder="1" applyAlignment="1">
      <alignment horizontal="center"/>
    </xf>
    <xf numFmtId="4" fontId="11" fillId="0" borderId="0" xfId="0" applyNumberFormat="1" applyFont="1"/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43" fontId="10" fillId="0" borderId="12" xfId="7" applyNumberFormat="1" applyFont="1" applyBorder="1"/>
    <xf numFmtId="43" fontId="11" fillId="0" borderId="13" xfId="0" applyNumberFormat="1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3" fontId="13" fillId="0" borderId="1" xfId="7" applyFont="1" applyBorder="1" applyAlignment="1">
      <alignment horizontal="center"/>
    </xf>
    <xf numFmtId="0" fontId="14" fillId="0" borderId="0" xfId="0" applyFont="1"/>
    <xf numFmtId="187" fontId="13" fillId="0" borderId="16" xfId="7" applyNumberFormat="1" applyFont="1" applyBorder="1" applyAlignment="1">
      <alignment horizontal="center"/>
    </xf>
    <xf numFmtId="43" fontId="13" fillId="0" borderId="2" xfId="7" applyFont="1" applyBorder="1" applyAlignment="1">
      <alignment horizontal="center"/>
    </xf>
    <xf numFmtId="0" fontId="10" fillId="0" borderId="12" xfId="0" applyFont="1" applyBorder="1" applyAlignment="1">
      <alignment horizontal="right"/>
    </xf>
    <xf numFmtId="192" fontId="10" fillId="0" borderId="13" xfId="0" applyNumberFormat="1" applyFont="1" applyBorder="1" applyAlignment="1">
      <alignment horizontal="right"/>
    </xf>
    <xf numFmtId="192" fontId="13" fillId="0" borderId="1" xfId="0" applyNumberFormat="1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43" fontId="21" fillId="0" borderId="0" xfId="7" applyFont="1"/>
    <xf numFmtId="43" fontId="20" fillId="0" borderId="0" xfId="0" applyNumberFormat="1" applyFont="1" applyAlignment="1">
      <alignment horizontal="center"/>
    </xf>
    <xf numFmtId="43" fontId="7" fillId="0" borderId="0" xfId="7" applyFont="1" applyFill="1" applyBorder="1" applyAlignment="1">
      <alignment vertical="center" wrapText="1"/>
    </xf>
    <xf numFmtId="43" fontId="8" fillId="0" borderId="1" xfId="7" applyFont="1" applyBorder="1" applyAlignment="1">
      <alignment horizontal="center" vertical="center"/>
    </xf>
    <xf numFmtId="43" fontId="7" fillId="0" borderId="0" xfId="7" applyFont="1" applyBorder="1" applyAlignment="1">
      <alignment horizontal="center" vertical="center"/>
    </xf>
    <xf numFmtId="43" fontId="6" fillId="0" borderId="0" xfId="7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87" fontId="11" fillId="0" borderId="1" xfId="7" applyNumberFormat="1" applyFont="1" applyBorder="1"/>
    <xf numFmtId="0" fontId="21" fillId="0" borderId="0" xfId="0" applyFont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87" fontId="20" fillId="0" borderId="1" xfId="7" applyNumberFormat="1" applyFont="1" applyBorder="1" applyAlignment="1">
      <alignment vertical="center"/>
    </xf>
    <xf numFmtId="187" fontId="20" fillId="0" borderId="1" xfId="7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187" fontId="20" fillId="0" borderId="2" xfId="7" applyNumberFormat="1" applyFont="1" applyBorder="1" applyAlignment="1">
      <alignment horizontal="center"/>
    </xf>
    <xf numFmtId="187" fontId="20" fillId="0" borderId="1" xfId="7" applyNumberFormat="1" applyFont="1" applyBorder="1"/>
    <xf numFmtId="0" fontId="20" fillId="0" borderId="0" xfId="0" applyFont="1" applyBorder="1" applyAlignment="1">
      <alignment horizontal="center" vertical="center"/>
    </xf>
    <xf numFmtId="187" fontId="20" fillId="0" borderId="0" xfId="7" applyNumberFormat="1" applyFont="1" applyBorder="1" applyAlignment="1">
      <alignment vertical="center"/>
    </xf>
    <xf numFmtId="187" fontId="20" fillId="0" borderId="0" xfId="7" applyNumberFormat="1" applyFont="1" applyBorder="1"/>
    <xf numFmtId="0" fontId="21" fillId="0" borderId="0" xfId="0" applyFont="1" applyAlignment="1">
      <alignment horizontal="center" vertical="center"/>
    </xf>
    <xf numFmtId="187" fontId="20" fillId="0" borderId="0" xfId="7" applyNumberFormat="1" applyFont="1" applyAlignment="1">
      <alignment vertical="center"/>
    </xf>
    <xf numFmtId="43" fontId="9" fillId="0" borderId="0" xfId="7" applyFont="1" applyBorder="1" applyAlignment="1">
      <alignment horizontal="center" vertical="center"/>
    </xf>
    <xf numFmtId="43" fontId="10" fillId="0" borderId="15" xfId="7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/>
    <xf numFmtId="187" fontId="10" fillId="0" borderId="20" xfId="0" applyNumberFormat="1" applyFont="1" applyBorder="1"/>
    <xf numFmtId="187" fontId="11" fillId="0" borderId="0" xfId="0" applyNumberFormat="1" applyFont="1"/>
    <xf numFmtId="0" fontId="11" fillId="0" borderId="0" xfId="0" applyFont="1" applyAlignment="1">
      <alignment horizontal="center"/>
    </xf>
    <xf numFmtId="187" fontId="11" fillId="0" borderId="1" xfId="0" applyNumberFormat="1" applyFont="1" applyBorder="1" applyAlignment="1">
      <alignment horizontal="center"/>
    </xf>
    <xf numFmtId="43" fontId="11" fillId="0" borderId="1" xfId="7" applyFont="1" applyBorder="1"/>
    <xf numFmtId="1" fontId="11" fillId="0" borderId="1" xfId="0" applyNumberFormat="1" applyFont="1" applyBorder="1" applyAlignment="1">
      <alignment horizontal="center"/>
    </xf>
    <xf numFmtId="1" fontId="11" fillId="0" borderId="1" xfId="7" applyNumberFormat="1" applyFont="1" applyBorder="1" applyAlignment="1">
      <alignment horizontal="center"/>
    </xf>
    <xf numFmtId="43" fontId="11" fillId="0" borderId="1" xfId="7" applyFont="1" applyBorder="1" applyAlignment="1">
      <alignment horizontal="center"/>
    </xf>
    <xf numFmtId="187" fontId="20" fillId="0" borderId="21" xfId="7" applyNumberFormat="1" applyFont="1" applyBorder="1" applyAlignment="1">
      <alignment vertical="center"/>
    </xf>
    <xf numFmtId="187" fontId="20" fillId="0" borderId="21" xfId="7" applyNumberFormat="1" applyFont="1" applyBorder="1"/>
    <xf numFmtId="0" fontId="11" fillId="0" borderId="7" xfId="0" applyFont="1" applyBorder="1" applyAlignment="1">
      <alignment horizontal="center"/>
    </xf>
    <xf numFmtId="0" fontId="11" fillId="0" borderId="13" xfId="0" applyFont="1" applyBorder="1"/>
    <xf numFmtId="1" fontId="11" fillId="0" borderId="13" xfId="7" applyNumberFormat="1" applyFont="1" applyBorder="1" applyAlignment="1">
      <alignment horizontal="center"/>
    </xf>
    <xf numFmtId="1" fontId="11" fillId="0" borderId="13" xfId="0" applyNumberFormat="1" applyFont="1" applyBorder="1"/>
    <xf numFmtId="187" fontId="11" fillId="0" borderId="13" xfId="0" applyNumberFormat="1" applyFont="1" applyBorder="1" applyAlignment="1">
      <alignment horizontal="center"/>
    </xf>
    <xf numFmtId="43" fontId="8" fillId="0" borderId="0" xfId="0" applyNumberFormat="1" applyFont="1" applyFill="1" applyBorder="1"/>
    <xf numFmtId="43" fontId="8" fillId="0" borderId="0" xfId="0" applyNumberFormat="1" applyFont="1" applyFill="1" applyBorder="1" applyAlignment="1">
      <alignment vertical="center" wrapText="1"/>
    </xf>
    <xf numFmtId="43" fontId="7" fillId="0" borderId="0" xfId="0" applyNumberFormat="1" applyFont="1" applyFill="1" applyBorder="1"/>
    <xf numFmtId="43" fontId="11" fillId="0" borderId="13" xfId="7" applyFont="1" applyBorder="1" applyAlignment="1">
      <alignment horizontal="center"/>
    </xf>
    <xf numFmtId="43" fontId="10" fillId="0" borderId="20" xfId="7" applyFont="1" applyBorder="1"/>
    <xf numFmtId="43" fontId="11" fillId="0" borderId="0" xfId="7" applyFont="1" applyAlignment="1">
      <alignment horizontal="center"/>
    </xf>
    <xf numFmtId="43" fontId="10" fillId="0" borderId="1" xfId="7" applyFont="1" applyBorder="1" applyAlignment="1">
      <alignment horizontal="center" vertical="center" wrapText="1"/>
    </xf>
    <xf numFmtId="43" fontId="11" fillId="0" borderId="13" xfId="7" applyFont="1" applyBorder="1"/>
    <xf numFmtId="0" fontId="9" fillId="0" borderId="15" xfId="0" applyFont="1" applyBorder="1" applyAlignment="1">
      <alignment horizontal="center" vertical="center" wrapText="1"/>
    </xf>
    <xf numFmtId="43" fontId="9" fillId="0" borderId="1" xfId="7" applyFont="1" applyBorder="1" applyAlignment="1">
      <alignment horizontal="center" vertical="center" wrapText="1"/>
    </xf>
    <xf numFmtId="187" fontId="9" fillId="0" borderId="1" xfId="7" applyNumberFormat="1" applyFont="1" applyBorder="1" applyAlignment="1">
      <alignment horizontal="center" vertical="center" wrapText="1"/>
    </xf>
    <xf numFmtId="187" fontId="11" fillId="0" borderId="0" xfId="0" applyNumberFormat="1" applyFont="1" applyAlignment="1">
      <alignment horizontal="center"/>
    </xf>
    <xf numFmtId="43" fontId="7" fillId="0" borderId="0" xfId="7" applyFont="1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/>
    <xf numFmtId="1" fontId="11" fillId="0" borderId="13" xfId="0" applyNumberFormat="1" applyFont="1" applyBorder="1" applyAlignment="1">
      <alignment horizontal="center"/>
    </xf>
    <xf numFmtId="187" fontId="10" fillId="0" borderId="20" xfId="0" applyNumberFormat="1" applyFont="1" applyBorder="1" applyAlignment="1">
      <alignment horizontal="center"/>
    </xf>
    <xf numFmtId="187" fontId="11" fillId="0" borderId="1" xfId="7" applyNumberFormat="1" applyFont="1" applyBorder="1" applyAlignment="1">
      <alignment horizontal="center"/>
    </xf>
    <xf numFmtId="187" fontId="11" fillId="0" borderId="13" xfId="7" applyNumberFormat="1" applyFont="1" applyBorder="1" applyAlignment="1">
      <alignment horizontal="center"/>
    </xf>
    <xf numFmtId="187" fontId="10" fillId="0" borderId="20" xfId="7" applyNumberFormat="1" applyFont="1" applyBorder="1" applyAlignment="1">
      <alignment horizontal="center"/>
    </xf>
    <xf numFmtId="187" fontId="11" fillId="0" borderId="0" xfId="7" applyNumberFormat="1" applyFont="1" applyAlignment="1">
      <alignment horizontal="center"/>
    </xf>
    <xf numFmtId="0" fontId="10" fillId="0" borderId="0" xfId="0" applyFont="1" applyAlignment="1">
      <alignment horizontal="left"/>
    </xf>
    <xf numFmtId="43" fontId="10" fillId="0" borderId="0" xfId="7" applyFont="1" applyAlignment="1">
      <alignment horizontal="center"/>
    </xf>
    <xf numFmtId="187" fontId="10" fillId="0" borderId="0" xfId="7" applyNumberFormat="1" applyFont="1" applyAlignment="1">
      <alignment horizontal="center"/>
    </xf>
    <xf numFmtId="0" fontId="20" fillId="0" borderId="18" xfId="0" applyFont="1" applyBorder="1" applyAlignment="1">
      <alignment horizontal="left"/>
    </xf>
    <xf numFmtId="43" fontId="10" fillId="0" borderId="0" xfId="0" applyNumberFormat="1" applyFont="1"/>
    <xf numFmtId="43" fontId="10" fillId="0" borderId="0" xfId="7" applyFont="1" applyAlignment="1"/>
    <xf numFmtId="43" fontId="10" fillId="0" borderId="0" xfId="0" applyNumberFormat="1" applyFont="1" applyAlignment="1">
      <alignment horizontal="left"/>
    </xf>
    <xf numFmtId="43" fontId="11" fillId="0" borderId="0" xfId="0" applyNumberFormat="1" applyFont="1" applyFill="1" applyAlignment="1">
      <alignment horizontal="left"/>
    </xf>
    <xf numFmtId="43" fontId="11" fillId="0" borderId="0" xfId="0" applyNumberFormat="1" applyFont="1" applyAlignment="1">
      <alignment horizontal="left"/>
    </xf>
    <xf numFmtId="43" fontId="11" fillId="0" borderId="0" xfId="0" applyNumberFormat="1" applyFont="1" applyAlignment="1"/>
    <xf numFmtId="43" fontId="10" fillId="0" borderId="0" xfId="7" applyFont="1" applyAlignment="1">
      <alignment vertical="center"/>
    </xf>
    <xf numFmtId="43" fontId="11" fillId="0" borderId="0" xfId="7" applyFont="1" applyFill="1" applyAlignment="1"/>
    <xf numFmtId="0" fontId="11" fillId="0" borderId="0" xfId="0" applyFont="1" applyFill="1"/>
    <xf numFmtId="189" fontId="11" fillId="0" borderId="0" xfId="7" applyNumberFormat="1" applyFont="1" applyAlignment="1"/>
    <xf numFmtId="43" fontId="10" fillId="0" borderId="15" xfId="7" applyFont="1" applyBorder="1" applyAlignment="1">
      <alignment horizontal="center" vertical="center"/>
    </xf>
    <xf numFmtId="43" fontId="10" fillId="0" borderId="15" xfId="7" applyFont="1" applyBorder="1" applyAlignment="1">
      <alignment horizontal="center" vertical="center" wrapText="1"/>
    </xf>
    <xf numFmtId="43" fontId="9" fillId="0" borderId="15" xfId="7" applyFont="1" applyBorder="1" applyAlignment="1">
      <alignment horizontal="center" vertical="center" wrapText="1"/>
    </xf>
    <xf numFmtId="43" fontId="10" fillId="0" borderId="0" xfId="7" applyFont="1" applyAlignment="1">
      <alignment horizontal="center" vertical="center" wrapText="1"/>
    </xf>
    <xf numFmtId="43" fontId="10" fillId="0" borderId="1" xfId="7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87" fontId="10" fillId="0" borderId="20" xfId="7" applyNumberFormat="1" applyFont="1" applyBorder="1"/>
    <xf numFmtId="0" fontId="10" fillId="0" borderId="0" xfId="0" applyFont="1" applyAlignment="1">
      <alignment horizontal="center" vertical="center"/>
    </xf>
    <xf numFmtId="0" fontId="11" fillId="0" borderId="1" xfId="0" applyFont="1" applyFill="1" applyBorder="1"/>
    <xf numFmtId="43" fontId="7" fillId="0" borderId="1" xfId="7" applyFont="1" applyFill="1" applyBorder="1"/>
    <xf numFmtId="43" fontId="6" fillId="0" borderId="0" xfId="7" applyFont="1" applyFill="1" applyBorder="1"/>
    <xf numFmtId="0" fontId="23" fillId="0" borderId="17" xfId="0" applyFont="1" applyBorder="1" applyAlignment="1">
      <alignment vertical="center"/>
    </xf>
    <xf numFmtId="187" fontId="20" fillId="0" borderId="2" xfId="7" applyNumberFormat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43" fontId="11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0" fontId="10" fillId="0" borderId="10" xfId="0" applyFont="1" applyBorder="1" applyAlignment="1">
      <alignment horizontal="left"/>
    </xf>
    <xf numFmtId="43" fontId="10" fillId="0" borderId="22" xfId="7" applyFont="1" applyBorder="1" applyAlignment="1">
      <alignment horizontal="center"/>
    </xf>
    <xf numFmtId="43" fontId="11" fillId="0" borderId="0" xfId="7" applyFont="1" applyBorder="1" applyAlignment="1">
      <alignment horizontal="center"/>
    </xf>
    <xf numFmtId="43" fontId="11" fillId="0" borderId="7" xfId="7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43" fontId="11" fillId="0" borderId="17" xfId="7" applyFont="1" applyBorder="1"/>
    <xf numFmtId="0" fontId="11" fillId="0" borderId="9" xfId="0" applyFont="1" applyBorder="1"/>
    <xf numFmtId="192" fontId="11" fillId="0" borderId="11" xfId="0" applyNumberFormat="1" applyFont="1" applyBorder="1" applyAlignment="1">
      <alignment horizontal="center"/>
    </xf>
    <xf numFmtId="43" fontId="10" fillId="0" borderId="11" xfId="7" applyFont="1" applyBorder="1" applyAlignment="1">
      <alignment horizontal="center"/>
    </xf>
    <xf numFmtId="43" fontId="10" fillId="0" borderId="23" xfId="7" applyFont="1" applyBorder="1" applyAlignment="1">
      <alignment horizontal="center" vertical="center"/>
    </xf>
    <xf numFmtId="0" fontId="10" fillId="0" borderId="18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5" xfId="0" applyFont="1" applyBorder="1"/>
    <xf numFmtId="0" fontId="11" fillId="0" borderId="6" xfId="0" applyFont="1" applyBorder="1" applyAlignment="1">
      <alignment horizontal="left"/>
    </xf>
    <xf numFmtId="43" fontId="10" fillId="0" borderId="16" xfId="7" applyFont="1" applyBorder="1" applyAlignment="1">
      <alignment horizontal="center" vertical="center"/>
    </xf>
    <xf numFmtId="43" fontId="10" fillId="0" borderId="10" xfId="7" applyFont="1" applyBorder="1" applyAlignment="1">
      <alignment horizontal="center"/>
    </xf>
    <xf numFmtId="43" fontId="11" fillId="0" borderId="6" xfId="7" applyFont="1" applyBorder="1" applyAlignment="1">
      <alignment horizontal="center"/>
    </xf>
    <xf numFmtId="43" fontId="11" fillId="0" borderId="8" xfId="7" applyFont="1" applyBorder="1"/>
    <xf numFmtId="0" fontId="14" fillId="0" borderId="6" xfId="0" applyFont="1" applyBorder="1" applyAlignment="1">
      <alignment horizontal="left"/>
    </xf>
    <xf numFmtId="43" fontId="14" fillId="0" borderId="0" xfId="7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3" fontId="14" fillId="0" borderId="6" xfId="7" applyFont="1" applyBorder="1" applyAlignment="1">
      <alignment horizontal="center"/>
    </xf>
    <xf numFmtId="43" fontId="14" fillId="0" borderId="7" xfId="7" applyFont="1" applyBorder="1" applyAlignment="1">
      <alignment horizontal="center"/>
    </xf>
    <xf numFmtId="4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left"/>
    </xf>
    <xf numFmtId="41" fontId="14" fillId="0" borderId="7" xfId="7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43" fontId="10" fillId="0" borderId="17" xfId="7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3" fontId="10" fillId="0" borderId="8" xfId="7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43" fontId="10" fillId="0" borderId="0" xfId="7" applyFont="1" applyBorder="1" applyAlignment="1">
      <alignment horizontal="center"/>
    </xf>
    <xf numFmtId="0" fontId="11" fillId="0" borderId="7" xfId="0" applyFont="1" applyBorder="1"/>
    <xf numFmtId="43" fontId="11" fillId="0" borderId="6" xfId="7" applyFont="1" applyBorder="1"/>
    <xf numFmtId="43" fontId="11" fillId="0" borderId="0" xfId="7" applyFont="1" applyBorder="1"/>
    <xf numFmtId="0" fontId="10" fillId="0" borderId="8" xfId="0" applyFont="1" applyBorder="1"/>
    <xf numFmtId="43" fontId="11" fillId="0" borderId="0" xfId="7" applyNumberFormat="1" applyFont="1"/>
    <xf numFmtId="43" fontId="14" fillId="0" borderId="0" xfId="7" applyFont="1"/>
    <xf numFmtId="43" fontId="10" fillId="0" borderId="0" xfId="7" applyNumberFormat="1" applyFont="1" applyAlignment="1">
      <alignment horizontal="center" wrapText="1"/>
    </xf>
    <xf numFmtId="43" fontId="9" fillId="0" borderId="14" xfId="7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23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right"/>
    </xf>
    <xf numFmtId="187" fontId="8" fillId="4" borderId="1" xfId="7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right"/>
    </xf>
    <xf numFmtId="187" fontId="8" fillId="5" borderId="1" xfId="7" applyNumberFormat="1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43" fontId="8" fillId="6" borderId="20" xfId="7" applyFont="1" applyFill="1" applyBorder="1" applyAlignment="1">
      <alignment horizontal="center" vertical="center"/>
    </xf>
    <xf numFmtId="0" fontId="7" fillId="0" borderId="21" xfId="0" applyFont="1" applyFill="1" applyBorder="1"/>
    <xf numFmtId="0" fontId="6" fillId="0" borderId="1" xfId="0" applyFont="1" applyFill="1" applyBorder="1"/>
    <xf numFmtId="0" fontId="11" fillId="0" borderId="0" xfId="0" applyFont="1" applyFill="1" applyAlignment="1">
      <alignment horizontal="center"/>
    </xf>
    <xf numFmtId="43" fontId="11" fillId="0" borderId="0" xfId="7" applyFont="1" applyFill="1"/>
    <xf numFmtId="43" fontId="11" fillId="0" borderId="0" xfId="7" applyFont="1" applyFill="1" applyAlignment="1">
      <alignment horizontal="center"/>
    </xf>
    <xf numFmtId="187" fontId="11" fillId="0" borderId="0" xfId="7" applyNumberFormat="1" applyFont="1" applyFill="1" applyAlignment="1">
      <alignment horizontal="center"/>
    </xf>
    <xf numFmtId="43" fontId="8" fillId="0" borderId="1" xfId="7" applyFont="1" applyBorder="1" applyAlignment="1">
      <alignment horizontal="center"/>
    </xf>
    <xf numFmtId="43" fontId="7" fillId="0" borderId="1" xfId="7" applyFont="1" applyFill="1" applyBorder="1" applyAlignment="1">
      <alignment horizontal="left" vertical="center" wrapText="1"/>
    </xf>
    <xf numFmtId="43" fontId="8" fillId="4" borderId="1" xfId="7" applyFont="1" applyFill="1" applyBorder="1" applyAlignment="1">
      <alignment horizontal="right"/>
    </xf>
    <xf numFmtId="43" fontId="8" fillId="5" borderId="1" xfId="7" applyFont="1" applyFill="1" applyBorder="1" applyAlignment="1">
      <alignment horizontal="center" vertical="center" wrapText="1"/>
    </xf>
    <xf numFmtId="43" fontId="8" fillId="6" borderId="20" xfId="7" applyFont="1" applyFill="1" applyBorder="1" applyAlignment="1">
      <alignment horizontal="right"/>
    </xf>
    <xf numFmtId="43" fontId="8" fillId="0" borderId="0" xfId="7" applyFont="1" applyBorder="1" applyAlignment="1">
      <alignment horizontal="center"/>
    </xf>
    <xf numFmtId="43" fontId="9" fillId="0" borderId="14" xfId="7" applyFont="1" applyBorder="1"/>
    <xf numFmtId="43" fontId="6" fillId="0" borderId="0" xfId="7" applyFont="1" applyBorder="1"/>
    <xf numFmtId="43" fontId="7" fillId="0" borderId="0" xfId="7" applyFont="1" applyBorder="1"/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0" borderId="7" xfId="7" applyNumberFormat="1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43" fontId="7" fillId="0" borderId="1" xfId="7" applyFont="1" applyFill="1" applyBorder="1" applyAlignment="1">
      <alignment horizontal="center" vertical="top" wrapText="1"/>
    </xf>
    <xf numFmtId="43" fontId="7" fillId="0" borderId="1" xfId="7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87" fontId="7" fillId="0" borderId="1" xfId="7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43" fontId="9" fillId="0" borderId="0" xfId="7" applyFont="1" applyBorder="1"/>
    <xf numFmtId="43" fontId="8" fillId="0" borderId="2" xfId="7" applyFont="1" applyFill="1" applyBorder="1" applyAlignment="1">
      <alignment horizontal="center" vertical="center" wrapText="1"/>
    </xf>
    <xf numFmtId="43" fontId="8" fillId="0" borderId="2" xfId="7" applyFont="1" applyBorder="1" applyAlignment="1">
      <alignment horizontal="center" vertical="center"/>
    </xf>
    <xf numFmtId="43" fontId="7" fillId="0" borderId="2" xfId="7" applyFont="1" applyFill="1" applyBorder="1" applyAlignment="1">
      <alignment horizontal="center" vertical="center" wrapText="1"/>
    </xf>
    <xf numFmtId="43" fontId="8" fillId="4" borderId="2" xfId="7" applyFont="1" applyFill="1" applyBorder="1" applyAlignment="1">
      <alignment horizontal="right"/>
    </xf>
    <xf numFmtId="43" fontId="8" fillId="5" borderId="2" xfId="7" applyFont="1" applyFill="1" applyBorder="1" applyAlignment="1">
      <alignment horizontal="center" vertical="center" wrapText="1"/>
    </xf>
    <xf numFmtId="43" fontId="8" fillId="6" borderId="24" xfId="7" applyFont="1" applyFill="1" applyBorder="1" applyAlignment="1">
      <alignment horizontal="center" vertical="center"/>
    </xf>
    <xf numFmtId="187" fontId="8" fillId="4" borderId="2" xfId="7" applyNumberFormat="1" applyFont="1" applyFill="1" applyBorder="1" applyAlignment="1">
      <alignment horizontal="right"/>
    </xf>
    <xf numFmtId="187" fontId="8" fillId="5" borderId="2" xfId="7" applyNumberFormat="1" applyFont="1" applyFill="1" applyBorder="1" applyAlignment="1">
      <alignment horizontal="center" vertical="center" wrapText="1"/>
    </xf>
    <xf numFmtId="187" fontId="9" fillId="0" borderId="0" xfId="7" applyNumberFormat="1" applyFont="1" applyBorder="1"/>
    <xf numFmtId="43" fontId="7" fillId="0" borderId="1" xfId="7" applyFont="1" applyFill="1" applyBorder="1" applyAlignment="1">
      <alignment vertical="top" wrapText="1"/>
    </xf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43" fontId="24" fillId="0" borderId="0" xfId="7" applyFont="1" applyBorder="1"/>
    <xf numFmtId="43" fontId="24" fillId="0" borderId="0" xfId="7" applyFont="1" applyBorder="1" applyAlignment="1">
      <alignment horizontal="center" vertical="center"/>
    </xf>
    <xf numFmtId="43" fontId="24" fillId="0" borderId="0" xfId="7" applyFont="1" applyFill="1" applyBorder="1"/>
    <xf numFmtId="0" fontId="24" fillId="0" borderId="0" xfId="0" applyFont="1" applyFill="1" applyBorder="1"/>
    <xf numFmtId="0" fontId="25" fillId="0" borderId="0" xfId="0" applyFont="1" applyBorder="1"/>
    <xf numFmtId="43" fontId="25" fillId="0" borderId="0" xfId="7" applyFont="1" applyBorder="1"/>
    <xf numFmtId="43" fontId="25" fillId="0" borderId="0" xfId="7" applyFont="1" applyBorder="1" applyAlignment="1">
      <alignment horizontal="center" vertical="center"/>
    </xf>
    <xf numFmtId="0" fontId="6" fillId="0" borderId="1" xfId="6" applyFont="1" applyBorder="1" applyAlignment="1">
      <alignment horizontal="left" vertical="top" wrapText="1"/>
    </xf>
    <xf numFmtId="43" fontId="8" fillId="0" borderId="1" xfId="7" applyFont="1" applyFill="1" applyBorder="1" applyAlignment="1">
      <alignment horizontal="center" vertical="top" wrapText="1"/>
    </xf>
    <xf numFmtId="43" fontId="8" fillId="5" borderId="25" xfId="7" applyFont="1" applyFill="1" applyBorder="1" applyAlignment="1">
      <alignment horizontal="center" vertical="center" wrapText="1"/>
    </xf>
    <xf numFmtId="43" fontId="7" fillId="0" borderId="1" xfId="10" applyFont="1" applyFill="1" applyBorder="1" applyAlignment="1">
      <alignment horizontal="left" vertical="top" wrapText="1"/>
    </xf>
    <xf numFmtId="43" fontId="8" fillId="0" borderId="1" xfId="7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3" fontId="8" fillId="0" borderId="2" xfId="7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43" fontId="7" fillId="0" borderId="2" xfId="7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87" fontId="8" fillId="6" borderId="20" xfId="7" applyNumberFormat="1" applyFont="1" applyFill="1" applyBorder="1" applyAlignment="1">
      <alignment horizontal="center" vertical="center"/>
    </xf>
    <xf numFmtId="187" fontId="7" fillId="5" borderId="1" xfId="7" applyNumberFormat="1" applyFont="1" applyFill="1" applyBorder="1" applyAlignment="1">
      <alignment horizontal="center" vertical="center" wrapText="1"/>
    </xf>
    <xf numFmtId="187" fontId="7" fillId="6" borderId="20" xfId="7" applyNumberFormat="1" applyFont="1" applyFill="1" applyBorder="1" applyAlignment="1">
      <alignment horizontal="center" vertical="center"/>
    </xf>
    <xf numFmtId="0" fontId="18" fillId="0" borderId="0" xfId="0" applyFont="1"/>
    <xf numFmtId="0" fontId="8" fillId="5" borderId="1" xfId="0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left" vertical="center" wrapText="1"/>
    </xf>
    <xf numFmtId="187" fontId="8" fillId="0" borderId="1" xfId="1" applyNumberFormat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187" fontId="7" fillId="0" borderId="1" xfId="1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vertical="top" wrapText="1"/>
    </xf>
    <xf numFmtId="43" fontId="7" fillId="0" borderId="1" xfId="1" applyFont="1" applyFill="1" applyBorder="1" applyAlignment="1">
      <alignment vertical="top" wrapText="1"/>
    </xf>
    <xf numFmtId="43" fontId="7" fillId="0" borderId="1" xfId="1" applyFont="1" applyFill="1" applyBorder="1" applyAlignment="1">
      <alignment horizontal="left" vertical="top" wrapText="1"/>
    </xf>
    <xf numFmtId="43" fontId="7" fillId="0" borderId="1" xfId="7" applyNumberFormat="1" applyFont="1" applyFill="1" applyBorder="1" applyAlignment="1">
      <alignment horizontal="center" vertical="top" wrapText="1"/>
    </xf>
    <xf numFmtId="43" fontId="8" fillId="4" borderId="1" xfId="7" applyNumberFormat="1" applyFont="1" applyFill="1" applyBorder="1" applyAlignment="1">
      <alignment horizontal="right"/>
    </xf>
    <xf numFmtId="43" fontId="8" fillId="5" borderId="1" xfId="7" applyNumberFormat="1" applyFont="1" applyFill="1" applyBorder="1" applyAlignment="1">
      <alignment horizontal="center" vertical="center" wrapText="1"/>
    </xf>
    <xf numFmtId="43" fontId="8" fillId="6" borderId="20" xfId="7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7" applyNumberFormat="1" applyFont="1" applyFill="1" applyBorder="1" applyAlignment="1">
      <alignment horizontal="center" vertical="center" wrapText="1"/>
    </xf>
    <xf numFmtId="43" fontId="7" fillId="0" borderId="1" xfId="7" applyNumberFormat="1" applyFont="1" applyFill="1" applyBorder="1" applyAlignment="1">
      <alignment horizontal="left" vertical="center" wrapText="1"/>
    </xf>
    <xf numFmtId="43" fontId="7" fillId="0" borderId="1" xfId="7" applyNumberFormat="1" applyFont="1" applyFill="1" applyBorder="1" applyAlignment="1">
      <alignment vertical="center" wrapText="1"/>
    </xf>
    <xf numFmtId="43" fontId="8" fillId="0" borderId="1" xfId="7" applyNumberFormat="1" applyFont="1" applyFill="1" applyBorder="1" applyAlignment="1">
      <alignment horizontal="center" vertical="center" wrapText="1"/>
    </xf>
    <xf numFmtId="43" fontId="7" fillId="0" borderId="1" xfId="7" applyNumberFormat="1" applyFont="1" applyFill="1" applyBorder="1" applyAlignment="1">
      <alignment vertical="top" wrapText="1"/>
    </xf>
    <xf numFmtId="190" fontId="7" fillId="0" borderId="1" xfId="7" applyNumberFormat="1" applyFont="1" applyFill="1" applyBorder="1" applyAlignment="1">
      <alignment horizontal="center" vertical="center" wrapText="1"/>
    </xf>
    <xf numFmtId="190" fontId="7" fillId="0" borderId="1" xfId="7" applyNumberFormat="1" applyFont="1" applyFill="1" applyBorder="1" applyAlignment="1">
      <alignment horizontal="left" vertical="center" wrapText="1"/>
    </xf>
    <xf numFmtId="0" fontId="6" fillId="0" borderId="15" xfId="6" applyFont="1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187" fontId="7" fillId="0" borderId="0" xfId="0" applyNumberFormat="1" applyFont="1" applyBorder="1" applyAlignment="1">
      <alignment horizontal="center"/>
    </xf>
    <xf numFmtId="187" fontId="7" fillId="0" borderId="0" xfId="7" applyNumberFormat="1" applyFont="1" applyFill="1" applyBorder="1" applyAlignment="1">
      <alignment horizontal="center" vertical="center" wrapText="1"/>
    </xf>
    <xf numFmtId="187" fontId="7" fillId="0" borderId="0" xfId="7" applyNumberFormat="1" applyFont="1" applyBorder="1" applyAlignment="1">
      <alignment horizontal="center" vertical="center"/>
    </xf>
    <xf numFmtId="43" fontId="7" fillId="0" borderId="0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43" fontId="21" fillId="0" borderId="1" xfId="0" applyNumberFormat="1" applyFont="1" applyBorder="1"/>
    <xf numFmtId="43" fontId="2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187" fontId="20" fillId="0" borderId="22" xfId="7" applyNumberFormat="1" applyFont="1" applyBorder="1" applyAlignment="1">
      <alignment vertical="center"/>
    </xf>
    <xf numFmtId="187" fontId="20" fillId="0" borderId="22" xfId="7" applyNumberFormat="1" applyFont="1" applyBorder="1"/>
    <xf numFmtId="0" fontId="7" fillId="0" borderId="1" xfId="0" applyFont="1" applyFill="1" applyBorder="1" applyAlignment="1">
      <alignment vertical="top" wrapText="1"/>
    </xf>
    <xf numFmtId="43" fontId="8" fillId="5" borderId="1" xfId="7" applyNumberFormat="1" applyFont="1" applyFill="1" applyBorder="1" applyAlignment="1">
      <alignment horizontal="center" vertical="top" wrapText="1"/>
    </xf>
    <xf numFmtId="43" fontId="21" fillId="0" borderId="1" xfId="0" applyNumberFormat="1" applyFont="1" applyBorder="1" applyAlignment="1">
      <alignment vertical="center"/>
    </xf>
    <xf numFmtId="43" fontId="7" fillId="0" borderId="1" xfId="7" quotePrefix="1" applyFont="1" applyFill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0" fillId="0" borderId="0" xfId="0" applyBorder="1"/>
    <xf numFmtId="187" fontId="7" fillId="0" borderId="15" xfId="7" applyNumberFormat="1" applyFont="1" applyFill="1" applyBorder="1" applyAlignment="1">
      <alignment horizontal="center" vertical="top" wrapText="1"/>
    </xf>
    <xf numFmtId="43" fontId="7" fillId="0" borderId="1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187" fontId="8" fillId="0" borderId="1" xfId="7" applyNumberFormat="1" applyFont="1" applyFill="1" applyBorder="1" applyAlignment="1">
      <alignment horizontal="center" vertical="top" wrapText="1"/>
    </xf>
    <xf numFmtId="43" fontId="24" fillId="0" borderId="1" xfId="12" applyNumberFormat="1" applyFont="1" applyBorder="1" applyAlignment="1">
      <alignment vertical="top"/>
    </xf>
    <xf numFmtId="0" fontId="24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43" fontId="21" fillId="0" borderId="1" xfId="0" applyNumberFormat="1" applyFont="1" applyBorder="1" applyAlignment="1">
      <alignment horizontal="right"/>
    </xf>
    <xf numFmtId="43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187" fontId="20" fillId="0" borderId="1" xfId="12" applyNumberFormat="1" applyFont="1" applyBorder="1" applyAlignment="1">
      <alignment horizontal="center" vertical="top"/>
    </xf>
    <xf numFmtId="0" fontId="25" fillId="0" borderId="12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right"/>
    </xf>
    <xf numFmtId="187" fontId="20" fillId="0" borderId="12" xfId="12" applyNumberFormat="1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13" xfId="0" applyFont="1" applyBorder="1" applyAlignment="1">
      <alignment horizontal="right"/>
    </xf>
    <xf numFmtId="187" fontId="20" fillId="0" borderId="13" xfId="12" applyNumberFormat="1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0" fontId="20" fillId="0" borderId="26" xfId="0" applyFont="1" applyBorder="1" applyAlignment="1">
      <alignment horizontal="right"/>
    </xf>
    <xf numFmtId="187" fontId="20" fillId="0" borderId="26" xfId="12" applyNumberFormat="1" applyFont="1" applyBorder="1" applyAlignment="1">
      <alignment horizontal="center" vertical="top"/>
    </xf>
    <xf numFmtId="0" fontId="25" fillId="0" borderId="27" xfId="0" applyFont="1" applyBorder="1" applyAlignment="1">
      <alignment horizontal="center" vertical="top"/>
    </xf>
    <xf numFmtId="0" fontId="20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top"/>
    </xf>
    <xf numFmtId="187" fontId="20" fillId="0" borderId="28" xfId="12" applyNumberFormat="1" applyFont="1" applyBorder="1" applyAlignment="1">
      <alignment horizontal="center" vertical="top"/>
    </xf>
    <xf numFmtId="0" fontId="24" fillId="0" borderId="29" xfId="0" applyFont="1" applyBorder="1" applyAlignment="1">
      <alignment horizontal="center" vertical="top"/>
    </xf>
    <xf numFmtId="0" fontId="21" fillId="0" borderId="29" xfId="0" applyFont="1" applyBorder="1" applyAlignment="1">
      <alignment horizontal="center" vertical="top"/>
    </xf>
    <xf numFmtId="0" fontId="21" fillId="0" borderId="29" xfId="0" applyFont="1" applyBorder="1" applyAlignment="1">
      <alignment vertical="top" wrapText="1"/>
    </xf>
    <xf numFmtId="0" fontId="24" fillId="0" borderId="29" xfId="0" applyFont="1" applyBorder="1" applyAlignment="1">
      <alignment horizontal="center" vertical="top" wrapText="1"/>
    </xf>
    <xf numFmtId="187" fontId="21" fillId="0" borderId="30" xfId="12" applyNumberFormat="1" applyFont="1" applyBorder="1" applyAlignment="1">
      <alignment vertical="top"/>
    </xf>
    <xf numFmtId="187" fontId="21" fillId="0" borderId="29" xfId="12" applyNumberFormat="1" applyFont="1" applyBorder="1" applyAlignment="1">
      <alignment vertical="top"/>
    </xf>
    <xf numFmtId="0" fontId="29" fillId="0" borderId="29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/>
    </xf>
    <xf numFmtId="0" fontId="24" fillId="0" borderId="13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187" fontId="20" fillId="0" borderId="26" xfId="12" applyNumberFormat="1" applyFont="1" applyBorder="1" applyAlignment="1">
      <alignment vertical="top"/>
    </xf>
    <xf numFmtId="0" fontId="24" fillId="0" borderId="30" xfId="0" applyFont="1" applyBorder="1" applyAlignment="1">
      <alignment horizontal="center" vertical="top"/>
    </xf>
    <xf numFmtId="0" fontId="21" fillId="0" borderId="30" xfId="0" applyFont="1" applyBorder="1" applyAlignment="1">
      <alignment horizontal="center" vertical="top"/>
    </xf>
    <xf numFmtId="0" fontId="21" fillId="0" borderId="30" xfId="0" applyFont="1" applyBorder="1"/>
    <xf numFmtId="0" fontId="24" fillId="0" borderId="26" xfId="0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0" fontId="21" fillId="0" borderId="26" xfId="0" applyFont="1" applyBorder="1"/>
    <xf numFmtId="187" fontId="21" fillId="0" borderId="26" xfId="12" applyNumberFormat="1" applyFont="1" applyBorder="1" applyAlignment="1">
      <alignment vertical="top"/>
    </xf>
    <xf numFmtId="0" fontId="27" fillId="0" borderId="13" xfId="0" applyFont="1" applyBorder="1"/>
    <xf numFmtId="187" fontId="20" fillId="0" borderId="31" xfId="0" applyNumberFormat="1" applyFont="1" applyBorder="1"/>
    <xf numFmtId="0" fontId="25" fillId="0" borderId="13" xfId="0" applyFont="1" applyBorder="1" applyAlignment="1">
      <alignment horizontal="center"/>
    </xf>
    <xf numFmtId="187" fontId="20" fillId="0" borderId="28" xfId="0" applyNumberFormat="1" applyFont="1" applyBorder="1"/>
    <xf numFmtId="187" fontId="20" fillId="0" borderId="32" xfId="12" applyNumberFormat="1" applyFont="1" applyBorder="1" applyAlignment="1">
      <alignment vertical="top"/>
    </xf>
    <xf numFmtId="0" fontId="25" fillId="0" borderId="31" xfId="0" applyFont="1" applyBorder="1" applyAlignment="1">
      <alignment horizontal="center" vertical="top"/>
    </xf>
    <xf numFmtId="0" fontId="25" fillId="0" borderId="33" xfId="0" applyFont="1" applyBorder="1" applyAlignment="1">
      <alignment horizontal="center" vertical="top"/>
    </xf>
    <xf numFmtId="0" fontId="24" fillId="0" borderId="13" xfId="0" applyFont="1" applyBorder="1" applyAlignment="1">
      <alignment horizontal="center" vertical="top"/>
    </xf>
    <xf numFmtId="0" fontId="21" fillId="0" borderId="13" xfId="0" applyFont="1" applyBorder="1" applyAlignment="1">
      <alignment vertical="top" wrapText="1"/>
    </xf>
    <xf numFmtId="187" fontId="21" fillId="0" borderId="34" xfId="12" applyNumberFormat="1" applyFont="1" applyBorder="1" applyAlignment="1">
      <alignment vertical="top"/>
    </xf>
    <xf numFmtId="0" fontId="20" fillId="0" borderId="13" xfId="0" applyFont="1" applyBorder="1" applyAlignment="1">
      <alignment horizontal="center" wrapText="1"/>
    </xf>
    <xf numFmtId="0" fontId="25" fillId="0" borderId="27" xfId="0" applyFont="1" applyBorder="1" applyAlignment="1">
      <alignment horizontal="center" vertical="center"/>
    </xf>
    <xf numFmtId="43" fontId="8" fillId="0" borderId="0" xfId="7" applyFont="1" applyFill="1" applyBorder="1" applyAlignment="1">
      <alignment horizontal="center" vertical="center" wrapText="1"/>
    </xf>
    <xf numFmtId="43" fontId="8" fillId="0" borderId="0" xfId="7" applyFont="1" applyFill="1" applyBorder="1" applyAlignment="1">
      <alignment vertical="center" wrapText="1"/>
    </xf>
    <xf numFmtId="43" fontId="8" fillId="0" borderId="0" xfId="7" applyFont="1" applyFill="1" applyBorder="1" applyAlignment="1">
      <alignment horizontal="right"/>
    </xf>
    <xf numFmtId="43" fontId="8" fillId="0" borderId="0" xfId="7" applyFont="1" applyFill="1" applyBorder="1" applyAlignment="1">
      <alignment horizontal="center" vertical="center"/>
    </xf>
    <xf numFmtId="187" fontId="8" fillId="0" borderId="0" xfId="7" applyNumberFormat="1" applyFont="1" applyFill="1" applyBorder="1" applyAlignment="1">
      <alignment horizontal="right"/>
    </xf>
    <xf numFmtId="187" fontId="8" fillId="0" borderId="0" xfId="7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43" fontId="7" fillId="0" borderId="0" xfId="0" applyNumberFormat="1" applyFont="1" applyBorder="1"/>
    <xf numFmtId="0" fontId="7" fillId="0" borderId="0" xfId="0" applyNumberFormat="1" applyFont="1" applyBorder="1"/>
    <xf numFmtId="0" fontId="7" fillId="0" borderId="0" xfId="0" applyNumberFormat="1" applyFont="1" applyFill="1" applyBorder="1"/>
    <xf numFmtId="0" fontId="31" fillId="0" borderId="0" xfId="14" applyNumberFormat="1" applyFont="1" applyBorder="1" applyAlignment="1">
      <alignment horizontal="center"/>
    </xf>
    <xf numFmtId="0" fontId="31" fillId="0" borderId="0" xfId="0" applyFont="1" applyFill="1" applyBorder="1"/>
    <xf numFmtId="43" fontId="31" fillId="0" borderId="0" xfId="0" applyNumberFormat="1" applyFont="1" applyFill="1" applyBorder="1" applyAlignment="1">
      <alignment vertical="center" wrapText="1"/>
    </xf>
    <xf numFmtId="43" fontId="31" fillId="0" borderId="0" xfId="0" applyNumberFormat="1" applyFont="1" applyFill="1" applyBorder="1"/>
    <xf numFmtId="0" fontId="31" fillId="0" borderId="0" xfId="0" applyFont="1" applyFill="1" applyBorder="1" applyAlignment="1">
      <alignment vertical="center" wrapText="1"/>
    </xf>
    <xf numFmtId="0" fontId="31" fillId="0" borderId="0" xfId="0" applyFont="1" applyBorder="1"/>
    <xf numFmtId="43" fontId="31" fillId="0" borderId="0" xfId="0" applyNumberFormat="1" applyFont="1" applyBorder="1"/>
    <xf numFmtId="0" fontId="31" fillId="0" borderId="0" xfId="0" applyNumberFormat="1" applyFont="1" applyBorder="1"/>
    <xf numFmtId="0" fontId="31" fillId="0" borderId="0" xfId="7" applyNumberFormat="1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0" xfId="7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7" applyNumberFormat="1" applyFont="1" applyFill="1" applyBorder="1" applyAlignment="1">
      <alignment vertical="center" wrapText="1"/>
    </xf>
    <xf numFmtId="43" fontId="31" fillId="0" borderId="0" xfId="7" applyFont="1" applyFill="1" applyBorder="1" applyAlignment="1">
      <alignment vertical="center" wrapText="1"/>
    </xf>
    <xf numFmtId="0" fontId="31" fillId="0" borderId="0" xfId="7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0" fontId="31" fillId="0" borderId="0" xfId="7" applyNumberFormat="1" applyFont="1" applyFill="1" applyBorder="1" applyAlignment="1">
      <alignment horizontal="right"/>
    </xf>
    <xf numFmtId="43" fontId="32" fillId="0" borderId="0" xfId="0" applyNumberFormat="1" applyFont="1" applyFill="1" applyBorder="1"/>
    <xf numFmtId="0" fontId="32" fillId="0" borderId="23" xfId="0" applyFont="1" applyFill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top" wrapText="1"/>
    </xf>
    <xf numFmtId="43" fontId="32" fillId="0" borderId="0" xfId="0" applyNumberFormat="1" applyFont="1" applyFill="1" applyBorder="1" applyAlignment="1">
      <alignment vertical="center" wrapText="1"/>
    </xf>
    <xf numFmtId="0" fontId="31" fillId="0" borderId="0" xfId="7" applyNumberFormat="1" applyFont="1" applyFill="1" applyBorder="1" applyAlignment="1">
      <alignment horizontal="center" vertical="center"/>
    </xf>
    <xf numFmtId="0" fontId="31" fillId="0" borderId="21" xfId="0" applyFont="1" applyFill="1" applyBorder="1"/>
    <xf numFmtId="0" fontId="31" fillId="0" borderId="6" xfId="7" applyNumberFormat="1" applyFont="1" applyFill="1" applyBorder="1" applyAlignment="1">
      <alignment horizontal="center" vertical="center" wrapText="1"/>
    </xf>
    <xf numFmtId="0" fontId="31" fillId="0" borderId="6" xfId="7" applyNumberFormat="1" applyFont="1" applyFill="1" applyBorder="1" applyAlignment="1">
      <alignment horizontal="center" vertical="center"/>
    </xf>
    <xf numFmtId="0" fontId="32" fillId="0" borderId="0" xfId="14" applyNumberFormat="1" applyFont="1" applyFill="1" applyBorder="1" applyAlignment="1">
      <alignment horizontal="center"/>
    </xf>
    <xf numFmtId="43" fontId="31" fillId="0" borderId="0" xfId="0" applyNumberFormat="1" applyFont="1" applyFill="1" applyBorder="1" applyAlignment="1">
      <alignment horizontal="center"/>
    </xf>
    <xf numFmtId="0" fontId="32" fillId="0" borderId="0" xfId="7" applyNumberFormat="1" applyFont="1" applyFill="1" applyBorder="1" applyAlignment="1">
      <alignment horizontal="center" vertical="center" wrapText="1"/>
    </xf>
    <xf numFmtId="0" fontId="32" fillId="0" borderId="0" xfId="7" applyNumberFormat="1" applyFont="1" applyFill="1" applyBorder="1" applyAlignment="1">
      <alignment horizontal="right"/>
    </xf>
    <xf numFmtId="0" fontId="32" fillId="0" borderId="0" xfId="7" applyNumberFormat="1" applyFont="1" applyFill="1" applyBorder="1" applyAlignment="1">
      <alignment vertical="center" wrapText="1"/>
    </xf>
    <xf numFmtId="0" fontId="32" fillId="0" borderId="0" xfId="7" applyNumberFormat="1" applyFont="1" applyFill="1" applyBorder="1" applyAlignment="1">
      <alignment horizontal="center" vertical="center"/>
    </xf>
    <xf numFmtId="0" fontId="31" fillId="0" borderId="0" xfId="14" applyNumberFormat="1" applyFont="1" applyFill="1" applyBorder="1" applyAlignment="1">
      <alignment horizontal="center"/>
    </xf>
    <xf numFmtId="0" fontId="31" fillId="0" borderId="0" xfId="0" applyNumberFormat="1" applyFont="1" applyFill="1" applyBorder="1"/>
    <xf numFmtId="43" fontId="32" fillId="0" borderId="0" xfId="0" applyNumberFormat="1" applyFont="1" applyFill="1" applyBorder="1" applyAlignment="1">
      <alignment vertical="top" wrapText="1"/>
    </xf>
    <xf numFmtId="0" fontId="32" fillId="0" borderId="0" xfId="7" applyNumberFormat="1" applyFont="1" applyFill="1" applyBorder="1" applyAlignment="1">
      <alignment vertical="top" wrapText="1"/>
    </xf>
    <xf numFmtId="0" fontId="32" fillId="0" borderId="0" xfId="14" applyNumberFormat="1" applyFont="1" applyBorder="1" applyAlignment="1">
      <alignment horizontal="center"/>
    </xf>
    <xf numFmtId="0" fontId="31" fillId="0" borderId="0" xfId="1" applyNumberFormat="1" applyFont="1" applyFill="1" applyBorder="1" applyAlignment="1">
      <alignment vertical="center" wrapText="1"/>
    </xf>
    <xf numFmtId="187" fontId="32" fillId="0" borderId="0" xfId="14" applyNumberFormat="1" applyFont="1" applyBorder="1" applyAlignment="1">
      <alignment horizontal="center"/>
    </xf>
    <xf numFmtId="43" fontId="31" fillId="0" borderId="0" xfId="7" applyFont="1" applyFill="1" applyBorder="1"/>
    <xf numFmtId="43" fontId="32" fillId="0" borderId="0" xfId="7" applyFont="1" applyFill="1" applyBorder="1" applyAlignment="1">
      <alignment horizontal="center" vertical="center" wrapText="1"/>
    </xf>
    <xf numFmtId="43" fontId="32" fillId="0" borderId="0" xfId="7" applyFont="1" applyFill="1" applyBorder="1" applyAlignment="1">
      <alignment horizontal="right"/>
    </xf>
    <xf numFmtId="43" fontId="32" fillId="0" borderId="0" xfId="7" applyFont="1" applyFill="1" applyBorder="1" applyAlignment="1">
      <alignment vertical="center" wrapText="1"/>
    </xf>
    <xf numFmtId="43" fontId="32" fillId="0" borderId="0" xfId="7" applyFont="1" applyFill="1" applyBorder="1" applyAlignment="1">
      <alignment horizontal="center" vertical="center"/>
    </xf>
    <xf numFmtId="187" fontId="32" fillId="0" borderId="0" xfId="14" applyNumberFormat="1" applyFont="1" applyFill="1" applyBorder="1" applyAlignment="1">
      <alignment horizontal="center"/>
    </xf>
    <xf numFmtId="43" fontId="32" fillId="0" borderId="0" xfId="1" applyFont="1" applyFill="1" applyBorder="1" applyAlignment="1">
      <alignment vertical="center" wrapText="1"/>
    </xf>
    <xf numFmtId="187" fontId="32" fillId="0" borderId="0" xfId="7" applyNumberFormat="1" applyFont="1" applyFill="1" applyBorder="1" applyAlignment="1">
      <alignment horizontal="right"/>
    </xf>
    <xf numFmtId="187" fontId="32" fillId="0" borderId="0" xfId="7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top" wrapText="1"/>
    </xf>
    <xf numFmtId="43" fontId="8" fillId="7" borderId="1" xfId="7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top" wrapText="1"/>
    </xf>
    <xf numFmtId="43" fontId="7" fillId="7" borderId="1" xfId="7" applyFont="1" applyFill="1" applyBorder="1" applyAlignment="1">
      <alignment horizontal="left" vertical="top" wrapText="1"/>
    </xf>
    <xf numFmtId="43" fontId="8" fillId="7" borderId="1" xfId="7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vertical="top" wrapText="1"/>
    </xf>
    <xf numFmtId="187" fontId="7" fillId="7" borderId="1" xfId="7" applyNumberFormat="1" applyFont="1" applyFill="1" applyBorder="1" applyAlignment="1">
      <alignment horizontal="center" vertical="top" wrapText="1"/>
    </xf>
    <xf numFmtId="187" fontId="8" fillId="7" borderId="1" xfId="7" applyNumberFormat="1" applyFont="1" applyFill="1" applyBorder="1" applyAlignment="1">
      <alignment horizontal="center" vertical="center" wrapText="1"/>
    </xf>
    <xf numFmtId="187" fontId="8" fillId="7" borderId="1" xfId="7" applyNumberFormat="1" applyFont="1" applyFill="1" applyBorder="1" applyAlignment="1">
      <alignment horizontal="center" vertical="top" wrapText="1"/>
    </xf>
    <xf numFmtId="0" fontId="30" fillId="7" borderId="1" xfId="0" applyFont="1" applyFill="1" applyBorder="1" applyAlignment="1">
      <alignment horizontal="center" vertical="top" wrapText="1"/>
    </xf>
    <xf numFmtId="43" fontId="7" fillId="7" borderId="1" xfId="7" applyNumberFormat="1" applyFont="1" applyFill="1" applyBorder="1" applyAlignment="1">
      <alignment vertical="top" wrapText="1"/>
    </xf>
    <xf numFmtId="43" fontId="8" fillId="0" borderId="0" xfId="12" applyFont="1" applyBorder="1" applyAlignment="1">
      <alignment horizontal="center"/>
    </xf>
    <xf numFmtId="43" fontId="8" fillId="0" borderId="1" xfId="12" applyFont="1" applyBorder="1" applyAlignment="1">
      <alignment horizontal="center" vertical="center"/>
    </xf>
    <xf numFmtId="43" fontId="8" fillId="0" borderId="1" xfId="12" applyFont="1" applyFill="1" applyBorder="1" applyAlignment="1">
      <alignment horizontal="center" vertical="center" wrapText="1"/>
    </xf>
    <xf numFmtId="43" fontId="8" fillId="7" borderId="1" xfId="8" quotePrefix="1" applyFont="1" applyFill="1" applyBorder="1" applyAlignment="1">
      <alignment horizontal="left" vertical="top" wrapText="1"/>
    </xf>
    <xf numFmtId="43" fontId="8" fillId="0" borderId="1" xfId="8" quotePrefix="1" applyFont="1" applyFill="1" applyBorder="1" applyAlignment="1">
      <alignment horizontal="left" vertical="top" wrapText="1"/>
    </xf>
    <xf numFmtId="43" fontId="8" fillId="4" borderId="1" xfId="12" applyFont="1" applyFill="1" applyBorder="1" applyAlignment="1">
      <alignment horizontal="right"/>
    </xf>
    <xf numFmtId="43" fontId="8" fillId="5" borderId="1" xfId="12" applyFont="1" applyFill="1" applyBorder="1" applyAlignment="1">
      <alignment horizontal="center" vertical="center" wrapText="1"/>
    </xf>
    <xf numFmtId="43" fontId="8" fillId="6" borderId="20" xfId="12" applyFont="1" applyFill="1" applyBorder="1" applyAlignment="1">
      <alignment horizontal="center" vertical="center"/>
    </xf>
    <xf numFmtId="43" fontId="8" fillId="0" borderId="0" xfId="12" applyFont="1" applyFill="1" applyBorder="1" applyAlignment="1">
      <alignment horizontal="center" vertical="center" wrapText="1"/>
    </xf>
    <xf numFmtId="43" fontId="8" fillId="0" borderId="0" xfId="12" applyFont="1" applyBorder="1" applyAlignment="1">
      <alignment horizontal="center" vertical="center"/>
    </xf>
    <xf numFmtId="43" fontId="9" fillId="0" borderId="0" xfId="12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3" fontId="7" fillId="0" borderId="0" xfId="7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3" fontId="8" fillId="7" borderId="1" xfId="8" quotePrefix="1" applyFont="1" applyFill="1" applyBorder="1" applyAlignment="1" applyProtection="1">
      <alignment horizontal="left" vertical="top" wrapText="1"/>
      <protection locked="0"/>
    </xf>
    <xf numFmtId="43" fontId="8" fillId="0" borderId="1" xfId="7" applyFont="1" applyFill="1" applyBorder="1" applyAlignment="1" applyProtection="1">
      <alignment horizontal="center" vertical="top" wrapText="1"/>
      <protection locked="0"/>
    </xf>
    <xf numFmtId="43" fontId="8" fillId="0" borderId="1" xfId="7" applyFont="1" applyFill="1" applyBorder="1" applyAlignment="1" applyProtection="1">
      <alignment vertical="top" wrapText="1"/>
      <protection locked="0"/>
    </xf>
    <xf numFmtId="43" fontId="8" fillId="0" borderId="1" xfId="8" quotePrefix="1" applyFont="1" applyFill="1" applyBorder="1" applyAlignment="1" applyProtection="1">
      <alignment horizontal="left" vertical="top" wrapText="1"/>
      <protection locked="0"/>
    </xf>
    <xf numFmtId="43" fontId="8" fillId="0" borderId="1" xfId="8" quotePrefix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43" fontId="8" fillId="0" borderId="1" xfId="7" applyNumberFormat="1" applyFont="1" applyFill="1" applyBorder="1" applyAlignment="1">
      <alignment horizontal="center" vertical="top" wrapText="1"/>
    </xf>
    <xf numFmtId="0" fontId="8" fillId="0" borderId="0" xfId="0" applyFont="1" applyBorder="1"/>
    <xf numFmtId="0" fontId="32" fillId="0" borderId="0" xfId="0" applyFont="1" applyBorder="1"/>
    <xf numFmtId="43" fontId="32" fillId="0" borderId="0" xfId="0" applyNumberFormat="1" applyFont="1" applyBorder="1"/>
    <xf numFmtId="0" fontId="32" fillId="0" borderId="0" xfId="0" applyNumberFormat="1" applyFont="1" applyBorder="1"/>
    <xf numFmtId="43" fontId="8" fillId="0" borderId="0" xfId="7" applyFont="1" applyFill="1" applyBorder="1"/>
    <xf numFmtId="0" fontId="32" fillId="0" borderId="0" xfId="7" applyNumberFormat="1" applyFont="1" applyFill="1" applyBorder="1"/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43" fontId="8" fillId="0" borderId="1" xfId="7" applyFont="1" applyFill="1" applyBorder="1"/>
    <xf numFmtId="0" fontId="35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left" vertical="top" wrapText="1"/>
    </xf>
    <xf numFmtId="43" fontId="8" fillId="7" borderId="1" xfId="7" applyNumberFormat="1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3" fontId="8" fillId="0" borderId="1" xfId="7" applyNumberFormat="1" applyFont="1" applyFill="1" applyBorder="1" applyAlignment="1">
      <alignment horizontal="left" vertical="center" wrapText="1"/>
    </xf>
    <xf numFmtId="0" fontId="32" fillId="0" borderId="21" xfId="0" applyFont="1" applyFill="1" applyBorder="1"/>
    <xf numFmtId="0" fontId="8" fillId="2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  <xf numFmtId="43" fontId="9" fillId="0" borderId="0" xfId="7" applyFont="1" applyFill="1" applyBorder="1"/>
    <xf numFmtId="0" fontId="9" fillId="0" borderId="0" xfId="0" applyFont="1" applyFill="1" applyBorder="1"/>
    <xf numFmtId="0" fontId="8" fillId="0" borderId="0" xfId="0" applyFont="1" applyBorder="1" applyAlignment="1">
      <alignment horizontal="center"/>
    </xf>
    <xf numFmtId="43" fontId="8" fillId="0" borderId="0" xfId="7" applyFont="1" applyBorder="1"/>
    <xf numFmtId="43" fontId="8" fillId="0" borderId="0" xfId="7" applyFont="1" applyBorder="1" applyAlignment="1">
      <alignment horizontal="center" vertical="center"/>
    </xf>
    <xf numFmtId="43" fontId="8" fillId="0" borderId="1" xfId="7" applyFont="1" applyFill="1" applyBorder="1" applyAlignment="1" applyProtection="1">
      <alignment horizontal="center" vertical="center" wrapText="1"/>
      <protection locked="0"/>
    </xf>
    <xf numFmtId="43" fontId="8" fillId="0" borderId="1" xfId="7" applyFont="1" applyFill="1" applyBorder="1" applyAlignment="1" applyProtection="1">
      <alignment vertical="center" wrapText="1"/>
      <protection locked="0"/>
    </xf>
    <xf numFmtId="43" fontId="8" fillId="0" borderId="1" xfId="7" applyFont="1" applyFill="1" applyBorder="1" applyAlignment="1" applyProtection="1">
      <alignment horizontal="left" vertical="top" wrapText="1"/>
      <protection locked="0"/>
    </xf>
    <xf numFmtId="43" fontId="8" fillId="0" borderId="1" xfId="7" applyFont="1" applyFill="1" applyBorder="1" applyAlignment="1" applyProtection="1">
      <alignment horizontal="left" vertical="center" wrapText="1"/>
      <protection locked="0"/>
    </xf>
    <xf numFmtId="43" fontId="8" fillId="0" borderId="1" xfId="8" applyNumberFormat="1" applyFont="1" applyFill="1" applyBorder="1" applyAlignment="1">
      <alignment horizontal="center" vertical="top" wrapText="1"/>
    </xf>
    <xf numFmtId="43" fontId="8" fillId="0" borderId="1" xfId="8" applyFont="1" applyFill="1" applyBorder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top" wrapText="1"/>
    </xf>
    <xf numFmtId="43" fontId="8" fillId="7" borderId="1" xfId="7" applyFont="1" applyFill="1" applyBorder="1" applyAlignment="1" applyProtection="1">
      <alignment horizontal="center" vertical="center" wrapText="1"/>
      <protection locked="0"/>
    </xf>
    <xf numFmtId="43" fontId="8" fillId="7" borderId="1" xfId="7" applyFont="1" applyFill="1" applyBorder="1" applyAlignment="1" applyProtection="1">
      <alignment horizontal="left" vertical="top" wrapText="1"/>
      <protection locked="0"/>
    </xf>
    <xf numFmtId="0" fontId="8" fillId="0" borderId="1" xfId="7" applyNumberFormat="1" applyFont="1" applyFill="1" applyBorder="1" applyAlignment="1">
      <alignment horizontal="center" vertical="top" wrapText="1"/>
    </xf>
    <xf numFmtId="0" fontId="8" fillId="7" borderId="1" xfId="7" applyNumberFormat="1" applyFont="1" applyFill="1" applyBorder="1" applyAlignment="1">
      <alignment vertical="top" wrapText="1"/>
    </xf>
    <xf numFmtId="43" fontId="8" fillId="0" borderId="2" xfId="7" applyFont="1" applyFill="1" applyBorder="1" applyAlignment="1" applyProtection="1">
      <alignment horizontal="center" vertical="center" wrapText="1"/>
      <protection locked="0"/>
    </xf>
    <xf numFmtId="0" fontId="34" fillId="7" borderId="1" xfId="0" applyFont="1" applyFill="1" applyBorder="1" applyAlignment="1">
      <alignment horizontal="center" vertical="top" wrapText="1"/>
    </xf>
    <xf numFmtId="0" fontId="8" fillId="0" borderId="1" xfId="7" applyNumberFormat="1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center" vertical="top" wrapText="1"/>
    </xf>
    <xf numFmtId="43" fontId="8" fillId="0" borderId="1" xfId="8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43" fontId="8" fillId="0" borderId="1" xfId="7" applyFont="1" applyFill="1" applyBorder="1" applyAlignment="1">
      <alignment horizontal="left" vertical="top" wrapText="1"/>
    </xf>
    <xf numFmtId="187" fontId="8" fillId="0" borderId="1" xfId="8" applyNumberFormat="1" applyFont="1" applyFill="1" applyBorder="1" applyAlignment="1">
      <alignment horizontal="center" vertical="top" wrapText="1"/>
    </xf>
    <xf numFmtId="0" fontId="33" fillId="0" borderId="0" xfId="0" applyFont="1" applyFill="1" applyProtection="1">
      <protection locked="0"/>
    </xf>
    <xf numFmtId="0" fontId="8" fillId="7" borderId="1" xfId="15" applyFont="1" applyFill="1" applyBorder="1" applyAlignment="1">
      <alignment horizontal="center" vertical="top" wrapText="1"/>
    </xf>
    <xf numFmtId="0" fontId="36" fillId="7" borderId="1" xfId="15" applyFont="1" applyFill="1" applyBorder="1" applyAlignment="1">
      <alignment horizontal="center" vertical="top" wrapText="1"/>
    </xf>
    <xf numFmtId="0" fontId="8" fillId="7" borderId="1" xfId="15" applyFont="1" applyFill="1" applyBorder="1" applyAlignment="1">
      <alignment horizontal="left" vertical="top" wrapText="1"/>
    </xf>
    <xf numFmtId="43" fontId="8" fillId="7" borderId="1" xfId="8" applyNumberFormat="1" applyFont="1" applyFill="1" applyBorder="1" applyAlignment="1">
      <alignment horizontal="center" vertical="top" wrapText="1"/>
    </xf>
    <xf numFmtId="43" fontId="8" fillId="7" borderId="1" xfId="8" applyFont="1" applyFill="1" applyBorder="1" applyAlignment="1">
      <alignment horizontal="center" vertical="top" wrapText="1"/>
    </xf>
    <xf numFmtId="43" fontId="8" fillId="7" borderId="1" xfId="8" applyFont="1" applyFill="1" applyBorder="1" applyAlignment="1" applyProtection="1">
      <alignment horizontal="center" vertical="top" wrapText="1"/>
      <protection locked="0"/>
    </xf>
    <xf numFmtId="43" fontId="8" fillId="0" borderId="2" xfId="8" applyFont="1" applyFill="1" applyBorder="1" applyAlignment="1" applyProtection="1">
      <alignment horizontal="center" vertical="center" wrapText="1"/>
      <protection locked="0"/>
    </xf>
    <xf numFmtId="43" fontId="8" fillId="0" borderId="1" xfId="8" applyFont="1" applyFill="1" applyBorder="1" applyAlignment="1" applyProtection="1">
      <alignment vertical="center" wrapText="1"/>
      <protection locked="0"/>
    </xf>
    <xf numFmtId="0" fontId="32" fillId="0" borderId="0" xfId="8" applyNumberFormat="1" applyFont="1" applyFill="1" applyBorder="1" applyAlignment="1">
      <alignment vertical="center" wrapText="1"/>
    </xf>
    <xf numFmtId="0" fontId="32" fillId="0" borderId="0" xfId="15" applyFont="1" applyFill="1" applyBorder="1" applyAlignment="1">
      <alignment vertical="center" wrapText="1"/>
    </xf>
    <xf numFmtId="0" fontId="8" fillId="0" borderId="0" xfId="15" applyFont="1" applyFill="1" applyBorder="1" applyAlignment="1">
      <alignment vertical="center" wrapText="1"/>
    </xf>
    <xf numFmtId="0" fontId="8" fillId="0" borderId="1" xfId="15" applyFont="1" applyFill="1" applyBorder="1" applyAlignment="1">
      <alignment horizontal="center" vertical="top" wrapText="1"/>
    </xf>
    <xf numFmtId="0" fontId="34" fillId="0" borderId="1" xfId="15" applyFont="1" applyFill="1" applyBorder="1" applyAlignment="1">
      <alignment horizontal="center" vertical="top" wrapText="1"/>
    </xf>
    <xf numFmtId="0" fontId="8" fillId="0" borderId="1" xfId="15" applyFont="1" applyFill="1" applyBorder="1" applyAlignment="1">
      <alignment horizontal="left" vertical="top" wrapText="1"/>
    </xf>
    <xf numFmtId="43" fontId="8" fillId="0" borderId="1" xfId="8" applyFont="1" applyFill="1" applyBorder="1" applyAlignment="1" applyProtection="1">
      <alignment horizontal="center" vertical="top" wrapText="1"/>
      <protection locked="0"/>
    </xf>
    <xf numFmtId="43" fontId="8" fillId="7" borderId="1" xfId="8" applyFont="1" applyFill="1" applyBorder="1" applyAlignment="1" applyProtection="1">
      <alignment horizontal="left" vertical="top" wrapText="1"/>
      <protection locked="0"/>
    </xf>
    <xf numFmtId="43" fontId="8" fillId="0" borderId="2" xfId="8" applyFont="1" applyFill="1" applyBorder="1" applyAlignment="1" applyProtection="1">
      <alignment horizontal="left" vertical="center" wrapText="1"/>
      <protection locked="0"/>
    </xf>
    <xf numFmtId="43" fontId="8" fillId="0" borderId="1" xfId="8" applyFont="1" applyFill="1" applyBorder="1" applyAlignment="1" applyProtection="1">
      <alignment horizontal="left" vertical="center" wrapText="1"/>
      <protection locked="0"/>
    </xf>
    <xf numFmtId="0" fontId="35" fillId="7" borderId="1" xfId="15" applyFont="1" applyFill="1" applyBorder="1" applyAlignment="1">
      <alignment horizontal="center" vertical="top" wrapText="1"/>
    </xf>
    <xf numFmtId="0" fontId="9" fillId="7" borderId="1" xfId="6" applyFont="1" applyFill="1" applyBorder="1" applyAlignment="1">
      <alignment horizontal="left" vertical="top" wrapText="1"/>
    </xf>
    <xf numFmtId="187" fontId="8" fillId="7" borderId="1" xfId="8" applyNumberFormat="1" applyFont="1" applyFill="1" applyBorder="1" applyAlignment="1">
      <alignment horizontal="center" vertical="top" wrapText="1"/>
    </xf>
    <xf numFmtId="0" fontId="9" fillId="7" borderId="1" xfId="6" applyFont="1" applyFill="1" applyBorder="1" applyAlignment="1" applyProtection="1">
      <alignment horizontal="left" vertical="top" wrapText="1"/>
      <protection locked="0"/>
    </xf>
    <xf numFmtId="43" fontId="8" fillId="0" borderId="2" xfId="8" applyFont="1" applyFill="1" applyBorder="1" applyAlignment="1" applyProtection="1">
      <alignment horizontal="center" vertical="top" wrapText="1"/>
      <protection locked="0"/>
    </xf>
    <xf numFmtId="43" fontId="8" fillId="0" borderId="1" xfId="8" applyFont="1" applyFill="1" applyBorder="1" applyAlignment="1" applyProtection="1">
      <alignment vertical="top" wrapText="1"/>
      <protection locked="0"/>
    </xf>
    <xf numFmtId="0" fontId="32" fillId="0" borderId="0" xfId="8" applyNumberFormat="1" applyFont="1" applyFill="1" applyBorder="1" applyAlignment="1">
      <alignment vertical="top" wrapText="1"/>
    </xf>
    <xf numFmtId="0" fontId="32" fillId="0" borderId="0" xfId="15" applyFont="1" applyFill="1" applyBorder="1" applyAlignment="1">
      <alignment vertical="top" wrapText="1"/>
    </xf>
    <xf numFmtId="0" fontId="8" fillId="0" borderId="0" xfId="15" applyFont="1" applyFill="1" applyBorder="1" applyAlignment="1">
      <alignment vertical="top" wrapText="1"/>
    </xf>
    <xf numFmtId="49" fontId="25" fillId="7" borderId="1" xfId="15" applyNumberFormat="1" applyFont="1" applyFill="1" applyBorder="1" applyAlignment="1" applyProtection="1">
      <alignment vertical="top"/>
      <protection locked="0"/>
    </xf>
    <xf numFmtId="187" fontId="8" fillId="7" borderId="15" xfId="8" applyNumberFormat="1" applyFont="1" applyFill="1" applyBorder="1" applyAlignment="1">
      <alignment horizontal="center" vertical="top" wrapText="1"/>
    </xf>
    <xf numFmtId="0" fontId="9" fillId="7" borderId="15" xfId="6" applyFont="1" applyFill="1" applyBorder="1" applyAlignment="1" applyProtection="1">
      <alignment horizontal="left" vertical="top" wrapText="1"/>
      <protection locked="0"/>
    </xf>
    <xf numFmtId="187" fontId="8" fillId="0" borderId="15" xfId="8" applyNumberFormat="1" applyFont="1" applyFill="1" applyBorder="1" applyAlignment="1">
      <alignment horizontal="center" vertical="top" wrapText="1"/>
    </xf>
    <xf numFmtId="0" fontId="9" fillId="0" borderId="15" xfId="6" applyFont="1" applyFill="1" applyBorder="1" applyAlignment="1" applyProtection="1">
      <alignment horizontal="left" vertical="top" wrapText="1"/>
      <protection locked="0"/>
    </xf>
    <xf numFmtId="43" fontId="8" fillId="7" borderId="1" xfId="7" applyFont="1" applyFill="1" applyBorder="1" applyAlignment="1" applyProtection="1">
      <alignment horizontal="center" vertical="top" wrapText="1"/>
      <protection locked="0"/>
    </xf>
    <xf numFmtId="43" fontId="8" fillId="0" borderId="2" xfId="7" applyFont="1" applyFill="1" applyBorder="1" applyAlignment="1" applyProtection="1">
      <alignment horizontal="center" vertical="top" wrapText="1"/>
      <protection locked="0"/>
    </xf>
    <xf numFmtId="43" fontId="8" fillId="0" borderId="2" xfId="7" applyFont="1" applyFill="1" applyBorder="1" applyAlignment="1" applyProtection="1">
      <alignment horizontal="left" vertical="top" wrapText="1"/>
      <protection locked="0"/>
    </xf>
    <xf numFmtId="0" fontId="25" fillId="7" borderId="1" xfId="0" applyFont="1" applyFill="1" applyBorder="1" applyAlignment="1">
      <alignment vertical="top" wrapText="1"/>
    </xf>
    <xf numFmtId="43" fontId="25" fillId="7" borderId="1" xfId="12" applyNumberFormat="1" applyFont="1" applyFill="1" applyBorder="1" applyAlignment="1">
      <alignment vertical="top"/>
    </xf>
    <xf numFmtId="0" fontId="25" fillId="7" borderId="1" xfId="0" applyFont="1" applyFill="1" applyBorder="1" applyAlignment="1">
      <alignment vertical="top"/>
    </xf>
    <xf numFmtId="0" fontId="25" fillId="0" borderId="1" xfId="0" applyFont="1" applyBorder="1" applyAlignment="1">
      <alignment vertical="top"/>
    </xf>
    <xf numFmtId="43" fontId="25" fillId="0" borderId="1" xfId="12" applyNumberFormat="1" applyFont="1" applyFill="1" applyBorder="1" applyAlignment="1">
      <alignment vertical="top"/>
    </xf>
    <xf numFmtId="43" fontId="8" fillId="0" borderId="15" xfId="7" applyFont="1" applyFill="1" applyBorder="1" applyAlignment="1">
      <alignment horizontal="center" vertical="center" wrapText="1"/>
    </xf>
    <xf numFmtId="43" fontId="8" fillId="0" borderId="15" xfId="10" applyFont="1" applyFill="1" applyBorder="1" applyAlignment="1" applyProtection="1">
      <alignment horizontal="left" vertical="top" wrapText="1"/>
      <protection locked="0"/>
    </xf>
    <xf numFmtId="43" fontId="8" fillId="0" borderId="15" xfId="10" applyFont="1" applyFill="1" applyBorder="1" applyAlignment="1">
      <alignment horizontal="left" vertical="top" wrapText="1"/>
    </xf>
    <xf numFmtId="43" fontId="8" fillId="0" borderId="1" xfId="7" applyFont="1" applyFill="1" applyBorder="1" applyAlignment="1">
      <alignment horizontal="left" vertical="center" wrapText="1"/>
    </xf>
    <xf numFmtId="43" fontId="8" fillId="0" borderId="1" xfId="13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vertical="top" wrapText="1"/>
    </xf>
    <xf numFmtId="43" fontId="25" fillId="0" borderId="1" xfId="12" applyNumberFormat="1" applyFont="1" applyBorder="1" applyAlignment="1">
      <alignment vertical="top"/>
    </xf>
    <xf numFmtId="43" fontId="8" fillId="7" borderId="1" xfId="7" quotePrefix="1" applyFont="1" applyFill="1" applyBorder="1" applyAlignment="1" applyProtection="1">
      <alignment horizontal="left" vertical="top" wrapText="1"/>
      <protection locked="0"/>
    </xf>
    <xf numFmtId="12" fontId="8" fillId="7" borderId="1" xfId="7" quotePrefix="1" applyNumberFormat="1" applyFont="1" applyFill="1" applyBorder="1" applyAlignment="1" applyProtection="1">
      <alignment horizontal="left" vertical="top" wrapText="1"/>
      <protection locked="0"/>
    </xf>
    <xf numFmtId="12" fontId="8" fillId="0" borderId="1" xfId="7" quotePrefix="1" applyNumberFormat="1" applyFont="1" applyFill="1" applyBorder="1" applyAlignment="1" applyProtection="1">
      <alignment horizontal="left" vertical="top" wrapText="1"/>
      <protection locked="0"/>
    </xf>
    <xf numFmtId="0" fontId="8" fillId="0" borderId="1" xfId="7" applyNumberFormat="1" applyFont="1" applyFill="1" applyBorder="1" applyAlignment="1">
      <alignment horizontal="center" vertical="center" wrapText="1"/>
    </xf>
    <xf numFmtId="0" fontId="8" fillId="7" borderId="1" xfId="7" applyNumberFormat="1" applyFont="1" applyFill="1" applyBorder="1" applyAlignment="1" applyProtection="1">
      <alignment horizontal="left" vertical="top" wrapText="1"/>
      <protection locked="0"/>
    </xf>
    <xf numFmtId="0" fontId="8" fillId="7" borderId="1" xfId="8" applyNumberFormat="1" applyFont="1" applyFill="1" applyBorder="1" applyAlignment="1" applyProtection="1">
      <alignment horizontal="left" vertical="top" wrapText="1"/>
      <protection locked="0"/>
    </xf>
    <xf numFmtId="0" fontId="8" fillId="0" borderId="1" xfId="8" applyNumberFormat="1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>
      <alignment horizontal="center" vertical="top" wrapText="1"/>
    </xf>
    <xf numFmtId="0" fontId="37" fillId="7" borderId="1" xfId="0" applyFont="1" applyFill="1" applyBorder="1" applyAlignment="1">
      <alignment horizontal="center" vertical="top" wrapText="1"/>
    </xf>
    <xf numFmtId="0" fontId="38" fillId="7" borderId="1" xfId="0" applyFont="1" applyFill="1" applyBorder="1" applyAlignment="1">
      <alignment horizontal="center" vertical="top" wrapText="1"/>
    </xf>
    <xf numFmtId="0" fontId="38" fillId="0" borderId="1" xfId="0" applyFont="1" applyFill="1" applyBorder="1" applyAlignment="1">
      <alignment horizontal="center" vertical="top" wrapText="1"/>
    </xf>
    <xf numFmtId="10" fontId="8" fillId="0" borderId="1" xfId="10" applyNumberFormat="1" applyFont="1" applyFill="1" applyBorder="1" applyAlignment="1" applyProtection="1">
      <alignment horizontal="left" vertical="top" wrapText="1"/>
      <protection locked="0"/>
    </xf>
    <xf numFmtId="0" fontId="39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 wrapText="1"/>
    </xf>
    <xf numFmtId="43" fontId="25" fillId="0" borderId="1" xfId="12" applyNumberFormat="1" applyFont="1" applyBorder="1" applyAlignment="1">
      <alignment vertical="center"/>
    </xf>
    <xf numFmtId="0" fontId="25" fillId="0" borderId="1" xfId="0" applyFont="1" applyBorder="1" applyAlignment="1">
      <alignment horizontal="left" vertical="top" wrapText="1"/>
    </xf>
    <xf numFmtId="0" fontId="40" fillId="7" borderId="1" xfId="0" applyFont="1" applyFill="1" applyBorder="1" applyAlignment="1">
      <alignment horizontal="center" vertical="top" wrapText="1"/>
    </xf>
    <xf numFmtId="0" fontId="25" fillId="7" borderId="1" xfId="0" applyFont="1" applyFill="1" applyBorder="1" applyAlignment="1">
      <alignment horizontal="left" vertical="top" wrapText="1"/>
    </xf>
    <xf numFmtId="0" fontId="39" fillId="7" borderId="1" xfId="0" applyFont="1" applyFill="1" applyBorder="1" applyAlignment="1">
      <alignment horizontal="center" vertical="top" wrapText="1"/>
    </xf>
    <xf numFmtId="43" fontId="8" fillId="7" borderId="1" xfId="8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41" fillId="7" borderId="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41" fillId="0" borderId="1" xfId="0" applyFont="1" applyFill="1" applyBorder="1" applyAlignment="1" applyProtection="1">
      <alignment horizontal="left" vertical="top" wrapText="1"/>
      <protection locked="0"/>
    </xf>
    <xf numFmtId="43" fontId="8" fillId="7" borderId="1" xfId="7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34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43" fontId="8" fillId="4" borderId="1" xfId="7" applyNumberFormat="1" applyFont="1" applyFill="1" applyBorder="1" applyAlignment="1">
      <alignment horizontal="center" vertical="top" wrapText="1"/>
    </xf>
    <xf numFmtId="43" fontId="8" fillId="4" borderId="1" xfId="7" applyFont="1" applyFill="1" applyBorder="1" applyAlignment="1">
      <alignment horizontal="center" vertical="top" wrapText="1"/>
    </xf>
    <xf numFmtId="0" fontId="41" fillId="4" borderId="1" xfId="0" applyFont="1" applyFill="1" applyBorder="1" applyAlignment="1" applyProtection="1">
      <alignment horizontal="left" vertical="top" wrapText="1"/>
      <protection locked="0"/>
    </xf>
    <xf numFmtId="43" fontId="8" fillId="4" borderId="1" xfId="7" applyFont="1" applyFill="1" applyBorder="1" applyAlignment="1" applyProtection="1">
      <alignment horizontal="left" vertical="top" wrapText="1"/>
      <protection locked="0"/>
    </xf>
    <xf numFmtId="12" fontId="8" fillId="7" borderId="1" xfId="7" applyNumberFormat="1" applyFont="1" applyFill="1" applyBorder="1" applyAlignment="1" applyProtection="1">
      <alignment horizontal="left" vertical="top" wrapText="1"/>
      <protection locked="0"/>
    </xf>
    <xf numFmtId="0" fontId="8" fillId="7" borderId="1" xfId="0" applyFont="1" applyFill="1" applyBorder="1" applyAlignment="1" applyProtection="1">
      <alignment horizontal="left" vertical="top" wrapText="1"/>
      <protection locked="0"/>
    </xf>
    <xf numFmtId="0" fontId="8" fillId="7" borderId="1" xfId="9" quotePrefix="1" applyNumberFormat="1" applyFont="1" applyFill="1" applyBorder="1" applyAlignment="1" applyProtection="1">
      <alignment horizontal="left" vertical="top" wrapText="1"/>
      <protection locked="0"/>
    </xf>
    <xf numFmtId="0" fontId="8" fillId="7" borderId="1" xfId="8" quotePrefix="1" applyNumberFormat="1" applyFont="1" applyFill="1" applyBorder="1" applyAlignment="1" applyProtection="1">
      <alignment horizontal="left" vertical="top" wrapText="1"/>
      <protection locked="0"/>
    </xf>
    <xf numFmtId="0" fontId="9" fillId="7" borderId="1" xfId="9" quotePrefix="1" applyNumberFormat="1" applyFont="1" applyFill="1" applyBorder="1" applyAlignment="1" applyProtection="1">
      <alignment horizontal="left" vertical="top" wrapText="1"/>
      <protection locked="0"/>
    </xf>
    <xf numFmtId="0" fontId="9" fillId="7" borderId="1" xfId="9" applyNumberFormat="1" applyFont="1" applyFill="1" applyBorder="1" applyAlignment="1" applyProtection="1">
      <alignment horizontal="left" vertical="top" wrapText="1"/>
      <protection locked="0"/>
    </xf>
    <xf numFmtId="0" fontId="42" fillId="7" borderId="1" xfId="0" applyFont="1" applyFill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43" fontId="8" fillId="0" borderId="18" xfId="7" applyFont="1" applyFill="1" applyBorder="1" applyAlignment="1">
      <alignment horizontal="center" vertical="top" wrapText="1"/>
    </xf>
    <xf numFmtId="43" fontId="8" fillId="7" borderId="18" xfId="7" applyFont="1" applyFill="1" applyBorder="1" applyAlignment="1">
      <alignment horizontal="center" vertical="top" wrapText="1"/>
    </xf>
    <xf numFmtId="43" fontId="8" fillId="7" borderId="18" xfId="10" applyFont="1" applyFill="1" applyBorder="1" applyAlignment="1" applyProtection="1">
      <alignment horizontal="left" vertical="top" wrapText="1"/>
      <protection locked="0"/>
    </xf>
    <xf numFmtId="43" fontId="8" fillId="7" borderId="1" xfId="10" applyFont="1" applyFill="1" applyBorder="1" applyAlignment="1" applyProtection="1">
      <alignment horizontal="left" vertical="top" wrapText="1"/>
      <protection locked="0"/>
    </xf>
    <xf numFmtId="43" fontId="8" fillId="0" borderId="18" xfId="10" applyFont="1" applyFill="1" applyBorder="1" applyAlignment="1" applyProtection="1">
      <alignment horizontal="left" vertical="top" wrapText="1"/>
      <protection locked="0"/>
    </xf>
    <xf numFmtId="43" fontId="8" fillId="0" borderId="18" xfId="7" applyFont="1" applyFill="1" applyBorder="1" applyAlignment="1" applyProtection="1">
      <alignment horizontal="left" vertical="top" wrapText="1"/>
      <protection locked="0"/>
    </xf>
    <xf numFmtId="43" fontId="8" fillId="7" borderId="18" xfId="7" applyFont="1" applyFill="1" applyBorder="1" applyAlignment="1" applyProtection="1">
      <alignment horizontal="left" vertical="top" wrapText="1"/>
      <protection locked="0"/>
    </xf>
    <xf numFmtId="0" fontId="43" fillId="7" borderId="1" xfId="0" applyFont="1" applyFill="1" applyBorder="1" applyAlignment="1">
      <alignment horizontal="center" vertical="top" wrapText="1"/>
    </xf>
    <xf numFmtId="49" fontId="8" fillId="7" borderId="1" xfId="8" applyNumberFormat="1" applyFont="1" applyFill="1" applyBorder="1" applyAlignment="1" applyProtection="1">
      <alignment horizontal="left" vertical="top" wrapText="1"/>
      <protection locked="0"/>
    </xf>
    <xf numFmtId="0" fontId="43" fillId="0" borderId="1" xfId="0" applyFont="1" applyBorder="1" applyAlignment="1">
      <alignment horizontal="center" vertical="top" wrapText="1"/>
    </xf>
    <xf numFmtId="0" fontId="8" fillId="7" borderId="1" xfId="10" applyNumberFormat="1" applyFont="1" applyFill="1" applyBorder="1" applyAlignment="1" applyProtection="1">
      <alignment horizontal="left" vertical="top" wrapText="1"/>
      <protection locked="0"/>
    </xf>
    <xf numFmtId="49" fontId="8" fillId="7" borderId="1" xfId="10" applyNumberFormat="1" applyFont="1" applyFill="1" applyBorder="1" applyAlignment="1" applyProtection="1">
      <alignment horizontal="left" vertical="top" wrapText="1"/>
      <protection locked="0"/>
    </xf>
    <xf numFmtId="0" fontId="9" fillId="7" borderId="1" xfId="15" applyFont="1" applyFill="1" applyBorder="1" applyAlignment="1">
      <alignment horizontal="left" vertical="top" wrapText="1"/>
    </xf>
    <xf numFmtId="43" fontId="9" fillId="7" borderId="15" xfId="12" applyFont="1" applyFill="1" applyBorder="1" applyAlignment="1">
      <alignment vertical="top"/>
    </xf>
    <xf numFmtId="0" fontId="44" fillId="7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center" vertical="top"/>
    </xf>
    <xf numFmtId="12" fontId="8" fillId="0" borderId="1" xfId="7" applyNumberFormat="1" applyFont="1" applyFill="1" applyBorder="1" applyAlignment="1" applyProtection="1">
      <alignment horizontal="left" vertical="top" wrapText="1"/>
      <protection locked="0"/>
    </xf>
    <xf numFmtId="49" fontId="8" fillId="7" borderId="1" xfId="7" applyNumberFormat="1" applyFont="1" applyFill="1" applyBorder="1" applyAlignment="1" applyProtection="1">
      <alignment vertical="top" wrapText="1"/>
      <protection locked="0"/>
    </xf>
    <xf numFmtId="49" fontId="8" fillId="7" borderId="15" xfId="7" applyNumberFormat="1" applyFont="1" applyFill="1" applyBorder="1" applyAlignment="1" applyProtection="1">
      <alignment horizontal="center" vertical="top" wrapText="1"/>
      <protection locked="0"/>
    </xf>
    <xf numFmtId="43" fontId="8" fillId="7" borderId="2" xfId="7" applyFont="1" applyFill="1" applyBorder="1" applyAlignment="1">
      <alignment horizontal="center" vertical="top" wrapText="1"/>
    </xf>
    <xf numFmtId="43" fontId="8" fillId="7" borderId="2" xfId="10" applyFont="1" applyFill="1" applyBorder="1" applyAlignment="1" applyProtection="1">
      <alignment horizontal="left" vertical="top" wrapText="1"/>
      <protection locked="0"/>
    </xf>
    <xf numFmtId="43" fontId="8" fillId="8" borderId="1" xfId="11" applyFont="1" applyFill="1" applyBorder="1" applyAlignment="1" applyProtection="1">
      <alignment horizontal="left" vertical="top" wrapText="1"/>
      <protection locked="0"/>
    </xf>
    <xf numFmtId="43" fontId="8" fillId="8" borderId="1" xfId="10" applyFont="1" applyFill="1" applyBorder="1" applyAlignment="1" applyProtection="1">
      <alignment horizontal="left" vertical="top" wrapText="1"/>
      <protection locked="0"/>
    </xf>
    <xf numFmtId="43" fontId="8" fillId="0" borderId="2" xfId="10" applyFont="1" applyFill="1" applyBorder="1" applyAlignment="1" applyProtection="1">
      <alignment horizontal="left" vertical="top" wrapText="1"/>
      <protection locked="0"/>
    </xf>
    <xf numFmtId="43" fontId="8" fillId="7" borderId="13" xfId="7" applyFont="1" applyFill="1" applyBorder="1" applyAlignment="1">
      <alignment horizontal="center" vertical="top" wrapText="1"/>
    </xf>
    <xf numFmtId="0" fontId="20" fillId="7" borderId="30" xfId="0" applyFont="1" applyFill="1" applyBorder="1" applyAlignment="1" applyProtection="1">
      <alignment vertical="top" wrapText="1"/>
      <protection locked="0"/>
    </xf>
    <xf numFmtId="0" fontId="25" fillId="7" borderId="1" xfId="0" applyFont="1" applyFill="1" applyBorder="1" applyAlignment="1" applyProtection="1">
      <alignment vertical="center" wrapText="1"/>
      <protection locked="0"/>
    </xf>
    <xf numFmtId="0" fontId="25" fillId="7" borderId="1" xfId="0" applyFont="1" applyFill="1" applyBorder="1" applyAlignment="1" applyProtection="1">
      <alignment vertical="top" wrapText="1"/>
      <protection locked="0"/>
    </xf>
    <xf numFmtId="0" fontId="25" fillId="7" borderId="30" xfId="0" applyFont="1" applyFill="1" applyBorder="1" applyAlignment="1" applyProtection="1">
      <alignment vertical="top" wrapText="1"/>
      <protection locked="0"/>
    </xf>
    <xf numFmtId="0" fontId="40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49" fontId="8" fillId="7" borderId="1" xfId="8" quotePrefix="1" applyNumberFormat="1" applyFont="1" applyFill="1" applyBorder="1" applyAlignment="1" applyProtection="1">
      <alignment horizontal="left" vertical="top" wrapText="1"/>
      <protection locked="0"/>
    </xf>
    <xf numFmtId="12" fontId="8" fillId="7" borderId="1" xfId="7" applyNumberFormat="1" applyFont="1" applyFill="1" applyBorder="1" applyAlignment="1" applyProtection="1">
      <alignment horizontal="center" vertical="top" wrapText="1"/>
      <protection locked="0"/>
    </xf>
    <xf numFmtId="187" fontId="8" fillId="7" borderId="1" xfId="7" applyNumberFormat="1" applyFont="1" applyFill="1" applyBorder="1" applyAlignment="1">
      <alignment horizontal="left" vertical="top" wrapText="1"/>
    </xf>
    <xf numFmtId="43" fontId="8" fillId="7" borderId="1" xfId="7" applyNumberFormat="1" applyFont="1" applyFill="1" applyBorder="1" applyAlignment="1">
      <alignment horizontal="left" vertical="top" wrapText="1"/>
    </xf>
    <xf numFmtId="43" fontId="8" fillId="7" borderId="15" xfId="10" applyFont="1" applyFill="1" applyBorder="1" applyAlignment="1" applyProtection="1">
      <alignment vertical="top" wrapText="1"/>
      <protection locked="0"/>
    </xf>
    <xf numFmtId="43" fontId="8" fillId="7" borderId="1" xfId="8" applyNumberFormat="1" applyFont="1" applyFill="1" applyBorder="1" applyAlignment="1">
      <alignment horizontal="left" vertical="top" wrapText="1"/>
    </xf>
    <xf numFmtId="43" fontId="8" fillId="0" borderId="1" xfId="7" applyNumberFormat="1" applyFont="1" applyFill="1" applyBorder="1" applyAlignment="1">
      <alignment vertical="top" wrapText="1"/>
    </xf>
    <xf numFmtId="43" fontId="8" fillId="0" borderId="1" xfId="7" quotePrefix="1" applyFont="1" applyFill="1" applyBorder="1" applyAlignment="1" applyProtection="1">
      <alignment horizontal="left" vertical="top" wrapText="1"/>
      <protection locked="0"/>
    </xf>
    <xf numFmtId="43" fontId="8" fillId="0" borderId="13" xfId="7" applyFont="1" applyFill="1" applyBorder="1" applyAlignment="1" applyProtection="1">
      <alignment horizontal="center" vertical="center" wrapText="1"/>
      <protection locked="0"/>
    </xf>
    <xf numFmtId="43" fontId="8" fillId="0" borderId="13" xfId="7" applyFont="1" applyFill="1" applyBorder="1" applyAlignment="1" applyProtection="1">
      <alignment vertical="center" wrapText="1"/>
      <protection locked="0"/>
    </xf>
    <xf numFmtId="0" fontId="8" fillId="7" borderId="1" xfId="7" applyNumberFormat="1" applyFont="1" applyFill="1" applyBorder="1" applyAlignment="1">
      <alignment horizontal="center" vertical="top" wrapText="1"/>
    </xf>
    <xf numFmtId="12" fontId="8" fillId="0" borderId="1" xfId="8" quotePrefix="1" applyNumberFormat="1" applyFont="1" applyFill="1" applyBorder="1" applyAlignment="1" applyProtection="1">
      <alignment horizontal="left" vertical="top" wrapText="1"/>
      <protection locked="0"/>
    </xf>
    <xf numFmtId="44" fontId="8" fillId="7" borderId="1" xfId="8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>
      <alignment horizontal="center" vertical="top" wrapText="1"/>
    </xf>
    <xf numFmtId="0" fontId="25" fillId="7" borderId="1" xfId="0" applyFont="1" applyFill="1" applyBorder="1" applyAlignment="1">
      <alignment horizontal="center" vertical="top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right"/>
    </xf>
    <xf numFmtId="0" fontId="47" fillId="0" borderId="0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/>
    </xf>
    <xf numFmtId="0" fontId="46" fillId="0" borderId="0" xfId="0" applyFont="1"/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0" fontId="25" fillId="4" borderId="1" xfId="0" applyFont="1" applyFill="1" applyBorder="1" applyAlignment="1">
      <alignment vertical="top" wrapText="1"/>
    </xf>
    <xf numFmtId="43" fontId="25" fillId="4" borderId="1" xfId="12" applyNumberFormat="1" applyFont="1" applyFill="1" applyBorder="1" applyAlignment="1">
      <alignment vertical="top"/>
    </xf>
    <xf numFmtId="43" fontId="8" fillId="4" borderId="1" xfId="7" applyFont="1" applyFill="1" applyBorder="1" applyAlignment="1" applyProtection="1">
      <alignment horizontal="center" vertical="top" wrapText="1"/>
      <protection locked="0"/>
    </xf>
    <xf numFmtId="43" fontId="8" fillId="4" borderId="1" xfId="7" applyFont="1" applyFill="1" applyBorder="1" applyAlignment="1" applyProtection="1">
      <alignment vertical="top" wrapText="1"/>
      <protection locked="0"/>
    </xf>
    <xf numFmtId="0" fontId="26" fillId="0" borderId="0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11" fillId="7" borderId="1" xfId="3" applyFont="1" applyFill="1" applyBorder="1" applyAlignment="1">
      <alignment horizontal="center" vertical="center"/>
    </xf>
    <xf numFmtId="43" fontId="48" fillId="7" borderId="1" xfId="3" applyNumberFormat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horizontal="center" vertical="center"/>
    </xf>
    <xf numFmtId="0" fontId="11" fillId="4" borderId="16" xfId="3" applyFont="1" applyFill="1" applyBorder="1" applyAlignment="1">
      <alignment horizontal="center" vertical="center"/>
    </xf>
    <xf numFmtId="43" fontId="21" fillId="0" borderId="36" xfId="0" applyNumberFormat="1" applyFont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43" fontId="11" fillId="7" borderId="1" xfId="3" applyNumberFormat="1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43" fontId="11" fillId="4" borderId="16" xfId="3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43" fontId="10" fillId="0" borderId="1" xfId="7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3" fontId="10" fillId="7" borderId="1" xfId="7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43" fontId="10" fillId="4" borderId="16" xfId="7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43" fontId="10" fillId="4" borderId="1" xfId="7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0" fillId="0" borderId="0" xfId="0" applyFill="1"/>
    <xf numFmtId="0" fontId="20" fillId="4" borderId="39" xfId="0" applyFont="1" applyFill="1" applyBorder="1" applyAlignment="1">
      <alignment horizontal="center"/>
    </xf>
    <xf numFmtId="0" fontId="11" fillId="4" borderId="39" xfId="3" applyFont="1" applyFill="1" applyBorder="1" applyAlignment="1">
      <alignment horizontal="center" vertical="center"/>
    </xf>
    <xf numFmtId="43" fontId="11" fillId="4" borderId="39" xfId="3" applyNumberFormat="1" applyFont="1" applyFill="1" applyBorder="1" applyAlignment="1">
      <alignment horizontal="center" vertical="center"/>
    </xf>
    <xf numFmtId="43" fontId="10" fillId="4" borderId="39" xfId="7" applyFont="1" applyFill="1" applyBorder="1" applyAlignment="1">
      <alignment horizontal="center"/>
    </xf>
    <xf numFmtId="0" fontId="11" fillId="4" borderId="15" xfId="3" applyFont="1" applyFill="1" applyBorder="1" applyAlignment="1">
      <alignment horizontal="center" vertical="center"/>
    </xf>
    <xf numFmtId="43" fontId="8" fillId="7" borderId="1" xfId="7" applyFont="1" applyFill="1" applyBorder="1" applyAlignment="1" applyProtection="1">
      <alignment vertical="top" wrapText="1"/>
      <protection locked="0"/>
    </xf>
    <xf numFmtId="0" fontId="21" fillId="0" borderId="3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7" borderId="16" xfId="0" applyFont="1" applyFill="1" applyBorder="1" applyAlignment="1">
      <alignment horizontal="center"/>
    </xf>
    <xf numFmtId="0" fontId="20" fillId="7" borderId="23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/>
    </xf>
    <xf numFmtId="0" fontId="20" fillId="4" borderId="38" xfId="0" applyFont="1" applyFill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3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3" fontId="8" fillId="0" borderId="18" xfId="7" applyFont="1" applyBorder="1" applyAlignment="1">
      <alignment horizontal="center" vertical="center" wrapText="1"/>
    </xf>
    <xf numFmtId="43" fontId="8" fillId="0" borderId="13" xfId="7" applyFont="1" applyBorder="1" applyAlignment="1">
      <alignment horizontal="center" vertical="center" wrapText="1"/>
    </xf>
    <xf numFmtId="43" fontId="8" fillId="0" borderId="15" xfId="7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3" fontId="8" fillId="0" borderId="16" xfId="7" applyFont="1" applyBorder="1" applyAlignment="1">
      <alignment horizontal="center"/>
    </xf>
    <xf numFmtId="43" fontId="8" fillId="0" borderId="23" xfId="7" applyFont="1" applyBorder="1" applyAlignment="1">
      <alignment horizontal="center"/>
    </xf>
    <xf numFmtId="43" fontId="8" fillId="0" borderId="2" xfId="7" applyFont="1" applyBorder="1" applyAlignment="1">
      <alignment horizontal="center"/>
    </xf>
    <xf numFmtId="187" fontId="8" fillId="0" borderId="0" xfId="14" applyNumberFormat="1" applyFont="1" applyBorder="1" applyAlignment="1">
      <alignment horizontal="center"/>
    </xf>
    <xf numFmtId="43" fontId="8" fillId="0" borderId="18" xfId="7" applyFont="1" applyFill="1" applyBorder="1" applyAlignment="1">
      <alignment horizontal="center" vertical="center" wrapText="1"/>
    </xf>
    <xf numFmtId="43" fontId="8" fillId="0" borderId="13" xfId="7" applyFont="1" applyFill="1" applyBorder="1" applyAlignment="1">
      <alignment horizontal="center" vertical="center" wrapText="1"/>
    </xf>
    <xf numFmtId="43" fontId="8" fillId="0" borderId="13" xfId="7" applyFont="1" applyBorder="1" applyAlignment="1">
      <alignment horizontal="center" vertical="center"/>
    </xf>
    <xf numFmtId="43" fontId="8" fillId="0" borderId="15" xfId="7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43" fontId="8" fillId="0" borderId="0" xfId="7" applyFont="1" applyBorder="1" applyAlignment="1">
      <alignment horizontal="center"/>
    </xf>
    <xf numFmtId="43" fontId="8" fillId="0" borderId="18" xfId="12" applyFont="1" applyBorder="1" applyAlignment="1">
      <alignment horizontal="center" vertical="center" wrapText="1"/>
    </xf>
    <xf numFmtId="43" fontId="8" fillId="0" borderId="13" xfId="12" applyFont="1" applyBorder="1" applyAlignment="1">
      <alignment horizontal="center" vertical="center" wrapText="1"/>
    </xf>
    <xf numFmtId="43" fontId="8" fillId="0" borderId="15" xfId="12" applyFont="1" applyBorder="1" applyAlignment="1">
      <alignment horizontal="center" vertical="center" wrapText="1"/>
    </xf>
    <xf numFmtId="43" fontId="7" fillId="0" borderId="0" xfId="7" applyFont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43" fontId="8" fillId="0" borderId="11" xfId="7" applyFont="1" applyBorder="1" applyAlignment="1">
      <alignment horizontal="center" vertical="center" wrapText="1"/>
    </xf>
    <xf numFmtId="43" fontId="8" fillId="0" borderId="7" xfId="7" applyFont="1" applyBorder="1" applyAlignment="1">
      <alignment horizontal="center" vertical="center" wrapText="1"/>
    </xf>
    <xf numFmtId="43" fontId="8" fillId="0" borderId="9" xfId="7" applyFont="1" applyBorder="1" applyAlignment="1">
      <alignment horizontal="center" vertical="center" wrapText="1"/>
    </xf>
    <xf numFmtId="43" fontId="8" fillId="0" borderId="15" xfId="7" applyFont="1" applyFill="1" applyBorder="1" applyAlignment="1">
      <alignment horizontal="center" vertical="center" wrapText="1"/>
    </xf>
    <xf numFmtId="43" fontId="8" fillId="0" borderId="13" xfId="7" applyFont="1" applyFill="1" applyBorder="1" applyAlignment="1">
      <alignment horizontal="center" vertical="center"/>
    </xf>
    <xf numFmtId="43" fontId="8" fillId="0" borderId="15" xfId="7" applyFont="1" applyFill="1" applyBorder="1" applyAlignment="1">
      <alignment horizontal="center" vertical="center"/>
    </xf>
    <xf numFmtId="43" fontId="8" fillId="0" borderId="16" xfId="7" applyFont="1" applyFill="1" applyBorder="1" applyAlignment="1">
      <alignment horizontal="center"/>
    </xf>
    <xf numFmtId="43" fontId="8" fillId="0" borderId="23" xfId="7" applyFont="1" applyFill="1" applyBorder="1" applyAlignment="1">
      <alignment horizontal="center"/>
    </xf>
    <xf numFmtId="43" fontId="8" fillId="0" borderId="2" xfId="7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3" fontId="10" fillId="0" borderId="16" xfId="7" applyFont="1" applyBorder="1" applyAlignment="1">
      <alignment horizontal="center" vertical="center"/>
    </xf>
    <xf numFmtId="43" fontId="10" fillId="0" borderId="23" xfId="7" applyFont="1" applyBorder="1" applyAlignment="1">
      <alignment horizontal="center" vertical="center"/>
    </xf>
    <xf numFmtId="0" fontId="20" fillId="0" borderId="35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17">
    <cellStyle name="Comma 2" xfId="1"/>
    <cellStyle name="Comma 2 3" xfId="2"/>
    <cellStyle name="Normal 2" xfId="3"/>
    <cellStyle name="Normal 2 3" xfId="4"/>
    <cellStyle name="Normal 3" xfId="5"/>
    <cellStyle name="Normal_mask" xfId="6"/>
    <cellStyle name="เครื่องหมายจุลภาค" xfId="7" builtinId="3"/>
    <cellStyle name="เครื่องหมายจุลภาค 2" xfId="8"/>
    <cellStyle name="เครื่องหมายจุลภาค 2 2" xfId="9"/>
    <cellStyle name="เครื่องหมายจุลภาค 3" xfId="10"/>
    <cellStyle name="เครื่องหมายจุลภาค 3 2" xfId="11"/>
    <cellStyle name="เครื่องหมายจุลภาค 4" xfId="12"/>
    <cellStyle name="เครื่องหมายจุลภาค 5" xfId="13"/>
    <cellStyle name="เครื่องหมายสกุลเงิน" xfId="14" builtinId="4"/>
    <cellStyle name="ปกติ" xfId="0" builtinId="0"/>
    <cellStyle name="ปกติ 2" xfId="15"/>
    <cellStyle name="ปกติ 3" xfId="16"/>
  </cellStyles>
  <dxfs count="10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2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52</xdr:row>
      <xdr:rowOff>0</xdr:rowOff>
    </xdr:from>
    <xdr:to>
      <xdr:col>21</xdr:col>
      <xdr:colOff>0</xdr:colOff>
      <xdr:row>52</xdr:row>
      <xdr:rowOff>0</xdr:rowOff>
    </xdr:to>
    <xdr:sp macro="" textlink="">
      <xdr:nvSpPr>
        <xdr:cNvPr id="297518" name="AutoShape 47"/>
        <xdr:cNvSpPr>
          <a:spLocks/>
        </xdr:cNvSpPr>
      </xdr:nvSpPr>
      <xdr:spPr bwMode="auto">
        <a:xfrm>
          <a:off x="16964025" y="30975300"/>
          <a:ext cx="5238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63</xdr:row>
      <xdr:rowOff>180975</xdr:rowOff>
    </xdr:from>
    <xdr:to>
      <xdr:col>6</xdr:col>
      <xdr:colOff>352425</xdr:colOff>
      <xdr:row>65</xdr:row>
      <xdr:rowOff>0</xdr:rowOff>
    </xdr:to>
    <xdr:sp macro="" textlink="">
      <xdr:nvSpPr>
        <xdr:cNvPr id="2" name="วงเล็บปีกกาขวา 1"/>
        <xdr:cNvSpPr/>
      </xdr:nvSpPr>
      <xdr:spPr>
        <a:xfrm>
          <a:off x="6048375" y="9505950"/>
          <a:ext cx="285750" cy="657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&#3619;&#3634;&#3618;&#3591;&#3634;&#3609;&#3591;&#3610;&#3621;&#3591;&#3607;&#3640;&#3609;%202559%20Edit%20&#3605;&#3633;&#3604;&#3619;&#3634;&#3618;&#3585;&#3634;&#361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3591;&#3610;%2059/&#3619;&#3634;&#3618;&#3591;&#3634;&#3609;&#3588;&#3623;&#3634;&#3617;&#3585;&#3657;&#3634;&#3623;&#3627;&#3609;&#3657;&#3634;&#3591;&#3610;&#3621;&#3591;&#3607;&#3640;&#3609;%2059%20&#3649;&#3618;&#3585;&#3627;&#3609;&#3656;&#3623;&#3618;/1.&#3610;&#3594;.&#3609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3591;&#3610;%2059/&#3591;&#3610;&#3621;&#3591;&#3607;&#3640;&#3609;/&#3619;&#3634;&#3618;&#3591;&#3634;&#3609;&#3591;&#3610;&#3621;&#3591;&#3607;&#3640;&#3609;%202559%20Edit%20&#3605;&#3633;&#3604;&#3619;&#3634;&#3618;&#3585;&#3634;&#361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1;&#3619;&#3632;&#3594;&#3640;&#3617;&#3648;&#3619;&#3656;&#3591;&#3619;&#3633;&#3604;&#3631;\Meeting%20Ori%20Doc\&#3611;&#3619;&#3632;&#3594;&#3640;&#3617;%2018%20&#3617;&#3636;.&#3618;.57\Meeting%2026%20Dec%2013\Meeting%2027%20NOV%2013\&#3627;&#3619;&#3633;&#3656;&#3591;%20(D)\&#3611;&#3637;%2054\&#3605;&#3636;&#3604;&#3605;&#3634;&#3617;&#3591;&#3610;&#3621;&#3591;&#3607;&#3640;&#3609;&#3611;&#3637;54\&#3591;&#3610;&#3621;&#3591;&#3607;&#3640;&#3609;&#3611;&#3637;5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1;&#3619;&#3632;&#3594;&#3640;&#3617;&#3648;&#3619;&#3656;&#3591;&#3619;&#3633;&#3604;&#3631;\Meeting%20Ori%20Doc\&#3611;&#3619;&#3632;&#3594;&#3640;&#3617;%2018%20&#3617;&#3636;.&#3618;.57\Meeting%2026%20Dec%2013\Meeting%2027%20NOV%2013\&#3627;&#3619;&#3633;&#3656;&#3591;%20(D)\&#3611;&#3637;55\&#3591;&#3610;&#3621;&#3591;&#3607;&#3640;&#3609;&#3611;&#3637;55\&#3591;&#3610;&#3621;&#3591;&#3607;&#3640;&#3609;&#3611;&#3637;5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ตร."/>
      <sheetName val="บช.น."/>
      <sheetName val="ภ.1"/>
      <sheetName val="ภ.2"/>
      <sheetName val="ภ.3"/>
      <sheetName val="ภ.4"/>
      <sheetName val="ภ.5"/>
      <sheetName val="ภ.6"/>
      <sheetName val="ภ.7"/>
      <sheetName val="ภ.8"/>
      <sheetName val="ภ.9"/>
      <sheetName val="ศชต."/>
      <sheetName val="บช.ก."/>
      <sheetName val="รน."/>
      <sheetName val="บช.ปส."/>
      <sheetName val="บช.ส."/>
      <sheetName val="สตม."/>
      <sheetName val="บช.ตชด."/>
      <sheetName val="สง.นรป."/>
      <sheetName val="สพฐ.ตร."/>
      <sheetName val="สทส."/>
      <sheetName val="บช.ศ."/>
      <sheetName val="รร.นรต."/>
      <sheetName val="รพ.ตร."/>
      <sheetName val="สยศ.ตร."/>
      <sheetName val="สกบ."/>
      <sheetName val="สกพ."/>
      <sheetName val="สงป."/>
      <sheetName val="กมค."/>
      <sheetName val="สง.ก.ตร."/>
      <sheetName val="จต."/>
      <sheetName val="สตส."/>
      <sheetName val="สลก.ตร."/>
      <sheetName val="ตท."/>
      <sheetName val="สท."/>
      <sheetName val="สง.ก.ต.ช."/>
      <sheetName val="บ.ตร."/>
      <sheetName val="วน."/>
      <sheetName val="สรุป"/>
      <sheetName val="Sheet2"/>
      <sheetName val="Sheet3"/>
      <sheetName val="Units"/>
      <sheetName val="Sheet5"/>
      <sheetName val="จัดลำดับ"/>
      <sheetName val="Sheet4"/>
      <sheetName val="Sheet1"/>
    </sheetNames>
    <sheetDataSet>
      <sheetData sheetId="0"/>
      <sheetData sheetId="1"/>
      <sheetData sheetId="2">
        <row r="2">
          <cell r="Q2">
            <v>4236900</v>
          </cell>
          <cell r="R2" t="str">
            <v>-</v>
          </cell>
          <cell r="S2" t="str">
            <v>-</v>
          </cell>
        </row>
        <row r="3">
          <cell r="P3">
            <v>2</v>
          </cell>
          <cell r="Q3">
            <v>9998000</v>
          </cell>
          <cell r="R3">
            <v>1</v>
          </cell>
          <cell r="S3">
            <v>17665600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">
        <row r="2">
          <cell r="Q2">
            <v>2795000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S3">
            <v>349508200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4">
        <row r="2">
          <cell r="Q2">
            <v>3245200</v>
          </cell>
          <cell r="S2" t="str">
            <v>-</v>
          </cell>
        </row>
        <row r="3">
          <cell r="P3" t="str">
            <v>-</v>
          </cell>
          <cell r="Q3"/>
          <cell r="S3">
            <v>238324900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5">
        <row r="2">
          <cell r="Q2">
            <v>1518000</v>
          </cell>
          <cell r="S2" t="str">
            <v>-</v>
          </cell>
        </row>
        <row r="3">
          <cell r="P3" t="str">
            <v>-</v>
          </cell>
          <cell r="S3">
            <v>556821000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6">
        <row r="2">
          <cell r="Q2">
            <v>5627500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S3">
            <v>363222300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7">
        <row r="2">
          <cell r="Q2">
            <v>4328900</v>
          </cell>
          <cell r="S2" t="str">
            <v>-</v>
          </cell>
        </row>
        <row r="3">
          <cell r="P3">
            <v>2</v>
          </cell>
          <cell r="Q3">
            <v>24274000</v>
          </cell>
          <cell r="S3">
            <v>390432000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8">
        <row r="2">
          <cell r="Q2">
            <v>3130100</v>
          </cell>
          <cell r="S2">
            <v>2000000</v>
          </cell>
        </row>
        <row r="3">
          <cell r="Q3">
            <v>15564000</v>
          </cell>
          <cell r="S3">
            <v>183855300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9">
        <row r="2">
          <cell r="Q2" t="str">
            <v>-</v>
          </cell>
          <cell r="S2" t="str">
            <v>-</v>
          </cell>
        </row>
        <row r="3">
          <cell r="Q3">
            <v>2390000</v>
          </cell>
          <cell r="S3">
            <v>81698900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0">
        <row r="2">
          <cell r="Q2">
            <v>8152900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S3">
            <v>150638000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1">
        <row r="2">
          <cell r="P2">
            <v>6</v>
          </cell>
          <cell r="Q2">
            <v>2051800</v>
          </cell>
          <cell r="S2" t="str">
            <v>-</v>
          </cell>
        </row>
        <row r="3">
          <cell r="P3">
            <v>1</v>
          </cell>
          <cell r="Q3">
            <v>5250000</v>
          </cell>
          <cell r="S3">
            <v>363690600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2">
        <row r="2">
          <cell r="Q2">
            <v>5946000</v>
          </cell>
          <cell r="S2">
            <v>10071200</v>
          </cell>
        </row>
        <row r="3">
          <cell r="Q3">
            <v>48200000</v>
          </cell>
          <cell r="S3">
            <v>408525300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3">
        <row r="2">
          <cell r="Q2">
            <v>12318600</v>
          </cell>
          <cell r="R2" t="str">
            <v>-</v>
          </cell>
          <cell r="S2" t="str">
            <v>-</v>
          </cell>
        </row>
        <row r="3">
          <cell r="Q3">
            <v>227741000</v>
          </cell>
          <cell r="S3">
            <v>12667000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4"/>
      <sheetData sheetId="15">
        <row r="2">
          <cell r="Q2">
            <v>4627200</v>
          </cell>
          <cell r="R2" t="str">
            <v>-</v>
          </cell>
          <cell r="S2" t="str">
            <v>-</v>
          </cell>
        </row>
        <row r="3">
          <cell r="Q3">
            <v>203238000</v>
          </cell>
          <cell r="R3" t="str">
            <v>-</v>
          </cell>
          <cell r="S3" t="str">
            <v>-</v>
          </cell>
        </row>
        <row r="4">
          <cell r="P4">
            <v>1</v>
          </cell>
          <cell r="Q4">
            <v>556854900</v>
          </cell>
          <cell r="R4" t="str">
            <v>-</v>
          </cell>
          <cell r="S4" t="str">
            <v>-</v>
          </cell>
        </row>
      </sheetData>
      <sheetData sheetId="16">
        <row r="2">
          <cell r="Q2">
            <v>1682000</v>
          </cell>
          <cell r="R2" t="str">
            <v>-</v>
          </cell>
          <cell r="S2" t="str">
            <v>-</v>
          </cell>
        </row>
        <row r="3">
          <cell r="Q3">
            <v>239548100</v>
          </cell>
          <cell r="R3">
            <v>3</v>
          </cell>
          <cell r="S3">
            <v>62472100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7">
        <row r="2"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</row>
        <row r="3">
          <cell r="Q3" t="str">
            <v>-</v>
          </cell>
          <cell r="S3">
            <v>236060800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8">
        <row r="2">
          <cell r="Q2">
            <v>42425000</v>
          </cell>
          <cell r="S2">
            <v>30460900</v>
          </cell>
        </row>
        <row r="3">
          <cell r="Q3">
            <v>94262500</v>
          </cell>
          <cell r="S3">
            <v>172147700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19">
        <row r="2"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</row>
        <row r="3">
          <cell r="Q3" t="str">
            <v>-</v>
          </cell>
          <cell r="S3">
            <v>3300000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0">
        <row r="2">
          <cell r="P2">
            <v>3</v>
          </cell>
          <cell r="Q2">
            <v>3220000</v>
          </cell>
          <cell r="R2" t="str">
            <v>-</v>
          </cell>
          <cell r="S2" t="str">
            <v>-</v>
          </cell>
        </row>
        <row r="3">
          <cell r="P3">
            <v>4</v>
          </cell>
          <cell r="Q3">
            <v>23802000</v>
          </cell>
          <cell r="S3">
            <v>84996500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1">
        <row r="2">
          <cell r="Q2">
            <v>5247900</v>
          </cell>
          <cell r="R2" t="str">
            <v>-</v>
          </cell>
          <cell r="S2" t="str">
            <v>-</v>
          </cell>
        </row>
        <row r="3">
          <cell r="P3">
            <v>2</v>
          </cell>
          <cell r="Q3">
            <v>202860000</v>
          </cell>
          <cell r="R3">
            <v>2</v>
          </cell>
          <cell r="S3">
            <v>29473200</v>
          </cell>
        </row>
        <row r="4">
          <cell r="Q4" t="str">
            <v>-</v>
          </cell>
          <cell r="R4" t="str">
            <v>-</v>
          </cell>
          <cell r="S4" t="str">
            <v>-</v>
          </cell>
        </row>
      </sheetData>
      <sheetData sheetId="22">
        <row r="2">
          <cell r="Q2">
            <v>3801100</v>
          </cell>
          <cell r="R2" t="str">
            <v>-</v>
          </cell>
          <cell r="S2" t="str">
            <v>-</v>
          </cell>
        </row>
        <row r="3">
          <cell r="P3">
            <v>1</v>
          </cell>
          <cell r="Q3">
            <v>48359500</v>
          </cell>
          <cell r="S3">
            <v>331402400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3">
        <row r="2">
          <cell r="Q2">
            <v>1809800</v>
          </cell>
          <cell r="R2" t="str">
            <v>-</v>
          </cell>
          <cell r="S2" t="str">
            <v>-</v>
          </cell>
        </row>
        <row r="3">
          <cell r="P3">
            <v>1</v>
          </cell>
          <cell r="Q3">
            <v>9208700</v>
          </cell>
          <cell r="R3" t="str">
            <v>-</v>
          </cell>
          <cell r="S3">
            <v>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4">
        <row r="2">
          <cell r="Q2">
            <v>6173500</v>
          </cell>
          <cell r="R2" t="str">
            <v>-</v>
          </cell>
          <cell r="S2" t="str">
            <v>-</v>
          </cell>
        </row>
        <row r="3">
          <cell r="Q3">
            <v>3940000</v>
          </cell>
          <cell r="S3">
            <v>26946100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5">
        <row r="2">
          <cell r="Q2">
            <v>2442900</v>
          </cell>
          <cell r="R2" t="str">
            <v>-</v>
          </cell>
          <cell r="S2" t="str">
            <v>-</v>
          </cell>
        </row>
        <row r="3">
          <cell r="Q3">
            <v>58600000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6">
        <row r="2">
          <cell r="R2">
            <v>15166600</v>
          </cell>
          <cell r="S2">
            <v>3</v>
          </cell>
          <cell r="T2">
            <v>2706000</v>
          </cell>
        </row>
        <row r="3">
          <cell r="R3">
            <v>194100000</v>
          </cell>
          <cell r="T3">
            <v>214738600</v>
          </cell>
        </row>
        <row r="4">
          <cell r="R4">
            <v>1537300000</v>
          </cell>
          <cell r="T4">
            <v>874686300</v>
          </cell>
        </row>
      </sheetData>
      <sheetData sheetId="27">
        <row r="2">
          <cell r="Q2">
            <v>1885300</v>
          </cell>
          <cell r="S2">
            <v>800000</v>
          </cell>
        </row>
        <row r="3">
          <cell r="Q3" t="str">
            <v>-</v>
          </cell>
          <cell r="S3">
            <v>162441000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8">
        <row r="2">
          <cell r="Q2">
            <v>1101100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29">
        <row r="2">
          <cell r="Q2">
            <v>4407800</v>
          </cell>
          <cell r="R2" t="str">
            <v>-</v>
          </cell>
          <cell r="S2" t="str">
            <v>-</v>
          </cell>
        </row>
        <row r="3">
          <cell r="Q3">
            <v>3136000</v>
          </cell>
          <cell r="R3">
            <v>2</v>
          </cell>
          <cell r="S3">
            <v>7010000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0">
        <row r="2">
          <cell r="Q2">
            <v>425900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1">
        <row r="2">
          <cell r="Q2">
            <v>124000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2">
        <row r="2">
          <cell r="N2" t="str">
            <v>-</v>
          </cell>
          <cell r="O2">
            <v>0</v>
          </cell>
          <cell r="P2" t="str">
            <v>-</v>
          </cell>
          <cell r="Q2" t="str">
            <v>-</v>
          </cell>
        </row>
        <row r="3">
          <cell r="N3" t="str">
            <v>-</v>
          </cell>
          <cell r="P3" t="str">
            <v>-</v>
          </cell>
          <cell r="Q3" t="str">
            <v>-</v>
          </cell>
        </row>
        <row r="4">
          <cell r="N4" t="str">
            <v>-</v>
          </cell>
          <cell r="O4" t="str">
            <v>-</v>
          </cell>
          <cell r="P4" t="str">
            <v>-</v>
          </cell>
          <cell r="Q4" t="str">
            <v>-</v>
          </cell>
        </row>
      </sheetData>
      <sheetData sheetId="33">
        <row r="2">
          <cell r="Q2">
            <v>1279800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4">
        <row r="2">
          <cell r="Q2">
            <v>1019900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5">
        <row r="2">
          <cell r="P2">
            <v>6</v>
          </cell>
          <cell r="Q2">
            <v>728000</v>
          </cell>
          <cell r="R2" t="str">
            <v>-</v>
          </cell>
          <cell r="S2" t="str">
            <v>-</v>
          </cell>
        </row>
        <row r="3">
          <cell r="P3">
            <v>1</v>
          </cell>
          <cell r="Q3">
            <v>3014700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6">
        <row r="2">
          <cell r="N2" t="str">
            <v>-</v>
          </cell>
          <cell r="O2">
            <v>0</v>
          </cell>
          <cell r="P2" t="str">
            <v>-</v>
          </cell>
          <cell r="Q2" t="str">
            <v>-</v>
          </cell>
        </row>
        <row r="3">
          <cell r="N3" t="str">
            <v>-</v>
          </cell>
          <cell r="O3" t="str">
            <v>-</v>
          </cell>
          <cell r="P3" t="str">
            <v>-</v>
          </cell>
          <cell r="Q3" t="str">
            <v>-</v>
          </cell>
        </row>
        <row r="4">
          <cell r="N4" t="str">
            <v>-</v>
          </cell>
          <cell r="O4" t="str">
            <v>-</v>
          </cell>
          <cell r="P4" t="str">
            <v>-</v>
          </cell>
          <cell r="Q4" t="str">
            <v>-</v>
          </cell>
        </row>
      </sheetData>
      <sheetData sheetId="37">
        <row r="2">
          <cell r="Q2">
            <v>1233000</v>
          </cell>
          <cell r="R2">
            <v>1</v>
          </cell>
          <cell r="S2">
            <v>2000000</v>
          </cell>
        </row>
        <row r="3">
          <cell r="P3">
            <v>5</v>
          </cell>
          <cell r="Q3">
            <v>841500000</v>
          </cell>
          <cell r="R3">
            <v>3</v>
          </cell>
          <cell r="S3">
            <v>37254800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8">
        <row r="2">
          <cell r="Q2">
            <v>1037000</v>
          </cell>
          <cell r="R2" t="str">
            <v>-</v>
          </cell>
          <cell r="S2" t="str">
            <v>-</v>
          </cell>
        </row>
        <row r="3">
          <cell r="P3" t="str">
            <v>-</v>
          </cell>
          <cell r="Q3" t="str">
            <v>-</v>
          </cell>
          <cell r="R3" t="str">
            <v>-</v>
          </cell>
          <cell r="S3" t="str">
            <v>-</v>
          </cell>
        </row>
        <row r="4"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บช.น."/>
    </sheetNames>
    <sheetDataSet>
      <sheetData sheetId="0">
        <row r="23">
          <cell r="N2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ภ.5 (อื่น) ตร.เก่า"/>
      <sheetName val="ศชต.(อื่น)"/>
      <sheetName val="สตม.(อื่น)"/>
      <sheetName val="สทส.(อื่น)"/>
      <sheetName val="สกบ.(อื่น)"/>
      <sheetName val="สรุป PO"/>
      <sheetName val="บช.น."/>
      <sheetName val="ภ.1"/>
      <sheetName val="ภ.2"/>
      <sheetName val="ภ.3"/>
      <sheetName val="ภ.4"/>
      <sheetName val="ภ.5"/>
      <sheetName val="ภ.6"/>
      <sheetName val="ภ.7"/>
      <sheetName val="ภ.8"/>
      <sheetName val="ภ.9"/>
      <sheetName val="ศชต."/>
      <sheetName val="บช.ก."/>
      <sheetName val="รน."/>
      <sheetName val="บช.ปส."/>
      <sheetName val="บช.ส."/>
      <sheetName val="สตม."/>
      <sheetName val="บช.ตชด."/>
      <sheetName val="สง.นรป."/>
      <sheetName val="สพฐ.ตร."/>
      <sheetName val="สทส."/>
      <sheetName val="บช.ศ."/>
      <sheetName val="รร.นรต."/>
      <sheetName val="รพ.ตร."/>
      <sheetName val="สยศ.ตร."/>
      <sheetName val="สกบ."/>
      <sheetName val="สกพ."/>
      <sheetName val="สงป."/>
      <sheetName val="กมค."/>
      <sheetName val="สง.ก.ตร."/>
      <sheetName val="จต."/>
      <sheetName val="สตส."/>
      <sheetName val="สลก.ตร."/>
      <sheetName val="ตท."/>
      <sheetName val="สท."/>
      <sheetName val="สง.ก.ต.ช."/>
      <sheetName val="บ.ตร."/>
      <sheetName val="วน."/>
      <sheetName val="สรุป"/>
      <sheetName val="Sheet2"/>
      <sheetName val="Sheet3"/>
      <sheetName val="Units"/>
      <sheetName val="Sheet5"/>
      <sheetName val="จัดลำดับ"/>
      <sheetName val="Sheet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8">
          <cell r="I18" t="str">
            <v>-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ภ.1"/>
      <sheetName val="ภ.2"/>
      <sheetName val="ภ.3"/>
      <sheetName val="ภ.4"/>
      <sheetName val="ภ.5"/>
      <sheetName val="ภ.6"/>
      <sheetName val="ภ.7"/>
      <sheetName val="ภ.8"/>
      <sheetName val="ภ.9"/>
      <sheetName val="ศชต."/>
      <sheetName val="จต."/>
      <sheetName val="รร.นรต."/>
      <sheetName val="บช.ศ."/>
      <sheetName val="บช.น."/>
      <sheetName val="บช.ก."/>
      <sheetName val="บช.ส."/>
      <sheetName val="สตม."/>
      <sheetName val="บช.ตชด."/>
      <sheetName val="สพฐ.ตร."/>
      <sheetName val="สทส."/>
      <sheetName val="รพ.ตร."/>
      <sheetName val="บ.ตร."/>
      <sheetName val="สกบ."/>
      <sheetName val="สกบ. (ตร.)"/>
      <sheetName val="ปส."/>
      <sheetName val="สท."/>
      <sheetName val="สกพ."/>
      <sheetName val="สลก.ตร."/>
      <sheetName val="งป."/>
      <sheetName val="สง.ก.ตร."/>
      <sheetName val="กง."/>
      <sheetName val="สยศ.ตร."/>
      <sheetName val="ตท."/>
      <sheetName val="สตส."/>
      <sheetName val="วน."/>
      <sheetName val="นรป."/>
      <sheetName val="กมค.(สบส.)"/>
      <sheetName val="สงป."/>
      <sheetName val="Sheet17"/>
      <sheetName val="งบลงทุน52(เรียงตามภ.)"/>
      <sheetName val="ตาราง"/>
      <sheetName val="Sheet2"/>
      <sheetName val="เปรียบเทียบ"/>
      <sheetName val="ยอดปัจจุบัน"/>
      <sheetName val="Sheet1"/>
      <sheetName val="สรุปภาพรวม"/>
      <sheetName val="ความคืบหน้า"/>
      <sheetName val="%ตามGF"/>
      <sheetName val="Sheet3"/>
      <sheetName val="ตามหน่วย(ข้อมูลประชุม)"/>
      <sheetName val="เปอร์เซ็นต์ตามหน่วย(ข้อมูลประชุ"/>
      <sheetName val="Sheet5"/>
      <sheetName val="บริหารตร."/>
      <sheetName val="Sheet7"/>
      <sheetName val="สรุปหน่วยที่ต้องเร่งรัด"/>
      <sheetName val="Sheet4"/>
      <sheetName val="ลงทุน"/>
      <sheetName val="Sheet8"/>
      <sheetName val="Sheet9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44">
          <cell r="D44">
            <v>5626016358.96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บช.น."/>
      <sheetName val="ภ.1"/>
      <sheetName val="ภ.2"/>
      <sheetName val="ภ.3"/>
      <sheetName val="ภ.4"/>
      <sheetName val="ภ.5"/>
      <sheetName val="ภ.6"/>
      <sheetName val="ภ.7"/>
      <sheetName val="ภ.8"/>
      <sheetName val="ภ.9"/>
      <sheetName val="ศชต."/>
      <sheetName val="บช.ก."/>
      <sheetName val="ปส."/>
      <sheetName val="บช.ส."/>
      <sheetName val="สตม."/>
      <sheetName val="บช.ตชด."/>
      <sheetName val="นรป."/>
      <sheetName val="สพฐ.ตร."/>
      <sheetName val="สทส."/>
      <sheetName val="บช.ศ."/>
      <sheetName val="รร.นรต."/>
      <sheetName val="รพ.ตร."/>
      <sheetName val="สกบ. (ตร.)"/>
      <sheetName val="สตส."/>
      <sheetName val="จต."/>
      <sheetName val="สง.ก.ตร."/>
      <sheetName val="กมค."/>
      <sheetName val="สงป."/>
      <sheetName val="สกพ."/>
      <sheetName val="สกบ."/>
      <sheetName val="สยศ.ตร."/>
      <sheetName val="วน."/>
      <sheetName val="บ.ตร."/>
      <sheetName val="สง.ก.ต.ช."/>
      <sheetName val="สท."/>
      <sheetName val="ตท."/>
      <sheetName val="สลก.ตร."/>
      <sheetName val="งป."/>
      <sheetName val="กง."/>
      <sheetName val="Sheet17"/>
      <sheetName val="งบลงทุน52(เรียงตามภ.)"/>
      <sheetName val="ตาราง"/>
      <sheetName val="เปรียบเทียบ"/>
      <sheetName val="ยอดปัจจุบัน"/>
      <sheetName val="สรุปภาพรวม"/>
      <sheetName val="%ตามGF"/>
      <sheetName val="Sheet3"/>
      <sheetName val="ตามหน่วย(ข้อมูลประชุม)"/>
      <sheetName val="เปอร์เซ็นต์ตามหน่วย(ข้อมูลประชุ"/>
      <sheetName val="Sheet5"/>
      <sheetName val="สรุปหน่วยที่ต้องเร่งรัด"/>
      <sheetName val="Sheet4"/>
      <sheetName val="ลงทุน"/>
      <sheetName val="Sheet9"/>
      <sheetName val="Sheet6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6">
          <cell r="B6">
            <v>208</v>
          </cell>
          <cell r="C6">
            <v>2858391400</v>
          </cell>
        </row>
      </sheetData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workbookViewId="0">
      <selection activeCell="E12" sqref="E12"/>
    </sheetView>
  </sheetViews>
  <sheetFormatPr defaultRowHeight="24" x14ac:dyDescent="0.55000000000000004"/>
  <cols>
    <col min="1" max="1" width="8.7109375" style="49" customWidth="1"/>
    <col min="2" max="2" width="17.28515625" style="49" customWidth="1"/>
    <col min="3" max="3" width="33.85546875" style="508" customWidth="1"/>
    <col min="4" max="4" width="9.140625" style="49"/>
    <col min="5" max="5" width="22.7109375" style="49" customWidth="1"/>
    <col min="6" max="6" width="10.85546875" style="49" customWidth="1"/>
    <col min="7" max="7" width="17.28515625" style="49" customWidth="1"/>
    <col min="8" max="8" width="33.85546875" style="49" customWidth="1"/>
    <col min="9" max="16384" width="9.140625" style="49"/>
  </cols>
  <sheetData>
    <row r="1" spans="1:9" ht="76.5" customHeight="1" x14ac:dyDescent="0.55000000000000004">
      <c r="A1" s="748" t="s">
        <v>810</v>
      </c>
      <c r="B1" s="748"/>
      <c r="C1" s="748"/>
      <c r="D1" s="748"/>
      <c r="E1" s="748"/>
      <c r="F1" s="748"/>
      <c r="G1" s="748"/>
      <c r="H1" s="748"/>
    </row>
    <row r="2" spans="1:9" ht="33" x14ac:dyDescent="0.75">
      <c r="A2" s="700"/>
      <c r="B2" s="701" t="s">
        <v>128</v>
      </c>
      <c r="C2" s="702">
        <v>18</v>
      </c>
      <c r="D2" s="703" t="s">
        <v>107</v>
      </c>
      <c r="E2" s="702">
        <f>+C5+C6+C7+C8+C9+C10+C11+C12+C13+H5+H6+H7+H8+H10+H9+H11+H12+H13</f>
        <v>105</v>
      </c>
      <c r="F2" s="702" t="s">
        <v>29</v>
      </c>
      <c r="G2" s="702"/>
    </row>
    <row r="4" spans="1:9" ht="30.75" x14ac:dyDescent="0.7">
      <c r="A4" s="704" t="s">
        <v>19</v>
      </c>
      <c r="B4" s="704" t="s">
        <v>107</v>
      </c>
      <c r="C4" s="705" t="s">
        <v>29</v>
      </c>
      <c r="D4" s="705"/>
      <c r="E4" s="705"/>
      <c r="F4" s="704" t="s">
        <v>19</v>
      </c>
      <c r="G4" s="704" t="s">
        <v>107</v>
      </c>
      <c r="H4" s="705" t="s">
        <v>29</v>
      </c>
      <c r="I4" s="706"/>
    </row>
    <row r="5" spans="1:9" ht="30.75" x14ac:dyDescent="0.7">
      <c r="A5" s="704">
        <v>1</v>
      </c>
      <c r="B5" s="704" t="s">
        <v>14</v>
      </c>
      <c r="C5" s="705">
        <v>10</v>
      </c>
      <c r="D5" s="706"/>
      <c r="E5" s="706"/>
      <c r="F5" s="704">
        <v>10</v>
      </c>
      <c r="G5" s="704" t="s">
        <v>17</v>
      </c>
      <c r="H5" s="705">
        <v>7</v>
      </c>
      <c r="I5" s="706"/>
    </row>
    <row r="6" spans="1:9" ht="30.75" x14ac:dyDescent="0.7">
      <c r="A6" s="704">
        <v>2</v>
      </c>
      <c r="B6" s="704" t="s">
        <v>13</v>
      </c>
      <c r="C6" s="705">
        <v>5</v>
      </c>
      <c r="D6" s="706"/>
      <c r="E6" s="706"/>
      <c r="F6" s="704">
        <v>11</v>
      </c>
      <c r="G6" s="704" t="s">
        <v>5</v>
      </c>
      <c r="H6" s="705">
        <v>9</v>
      </c>
      <c r="I6" s="706"/>
    </row>
    <row r="7" spans="1:9" ht="30.75" x14ac:dyDescent="0.7">
      <c r="A7" s="704">
        <v>3</v>
      </c>
      <c r="B7" s="704" t="s">
        <v>9</v>
      </c>
      <c r="C7" s="705">
        <v>6</v>
      </c>
      <c r="D7" s="706"/>
      <c r="E7" s="706"/>
      <c r="F7" s="704">
        <v>12</v>
      </c>
      <c r="G7" s="704" t="s">
        <v>2</v>
      </c>
      <c r="H7" s="705">
        <v>2</v>
      </c>
      <c r="I7" s="706"/>
    </row>
    <row r="8" spans="1:9" ht="30.75" x14ac:dyDescent="0.7">
      <c r="A8" s="704">
        <v>4</v>
      </c>
      <c r="B8" s="704" t="s">
        <v>27</v>
      </c>
      <c r="C8" s="705">
        <v>1</v>
      </c>
      <c r="D8" s="706"/>
      <c r="E8" s="706"/>
      <c r="F8" s="704">
        <v>13</v>
      </c>
      <c r="G8" s="704" t="s">
        <v>34</v>
      </c>
      <c r="H8" s="705">
        <v>12</v>
      </c>
      <c r="I8" s="706"/>
    </row>
    <row r="9" spans="1:9" ht="30.75" x14ac:dyDescent="0.7">
      <c r="A9" s="704">
        <v>5</v>
      </c>
      <c r="B9" s="704" t="s">
        <v>24</v>
      </c>
      <c r="C9" s="705">
        <v>12</v>
      </c>
      <c r="D9" s="706"/>
      <c r="E9" s="706"/>
      <c r="F9" s="704">
        <v>14</v>
      </c>
      <c r="G9" s="704" t="s">
        <v>35</v>
      </c>
      <c r="H9" s="705">
        <v>3</v>
      </c>
      <c r="I9" s="706"/>
    </row>
    <row r="10" spans="1:9" ht="30.75" x14ac:dyDescent="0.7">
      <c r="A10" s="704">
        <v>6</v>
      </c>
      <c r="B10" s="704" t="s">
        <v>7</v>
      </c>
      <c r="C10" s="705">
        <v>9</v>
      </c>
      <c r="D10" s="706"/>
      <c r="E10" s="706"/>
      <c r="F10" s="704">
        <v>15</v>
      </c>
      <c r="G10" s="704" t="s">
        <v>38</v>
      </c>
      <c r="H10" s="705">
        <v>1</v>
      </c>
      <c r="I10" s="706"/>
    </row>
    <row r="11" spans="1:9" ht="30.75" x14ac:dyDescent="0.7">
      <c r="A11" s="704">
        <v>7</v>
      </c>
      <c r="B11" s="704" t="s">
        <v>16</v>
      </c>
      <c r="C11" s="705">
        <v>3</v>
      </c>
      <c r="D11" s="706"/>
      <c r="E11" s="706"/>
      <c r="F11" s="704">
        <v>16</v>
      </c>
      <c r="G11" s="704" t="s">
        <v>45</v>
      </c>
      <c r="H11" s="705">
        <v>9</v>
      </c>
      <c r="I11" s="706"/>
    </row>
    <row r="12" spans="1:9" ht="30.75" x14ac:dyDescent="0.7">
      <c r="A12" s="704">
        <v>8</v>
      </c>
      <c r="B12" s="704" t="s">
        <v>30</v>
      </c>
      <c r="C12" s="705">
        <v>1</v>
      </c>
      <c r="D12" s="706"/>
      <c r="E12" s="706"/>
      <c r="F12" s="704">
        <v>17</v>
      </c>
      <c r="G12" s="704" t="s">
        <v>42</v>
      </c>
      <c r="H12" s="705">
        <v>9</v>
      </c>
      <c r="I12" s="706"/>
    </row>
    <row r="13" spans="1:9" ht="30.75" x14ac:dyDescent="0.7">
      <c r="A13" s="704">
        <v>9</v>
      </c>
      <c r="B13" s="704" t="s">
        <v>11</v>
      </c>
      <c r="C13" s="705">
        <v>1</v>
      </c>
      <c r="D13" s="706"/>
      <c r="E13" s="706"/>
      <c r="F13" s="704">
        <v>18</v>
      </c>
      <c r="G13" s="704" t="s">
        <v>22</v>
      </c>
      <c r="H13" s="705">
        <v>5</v>
      </c>
      <c r="I13" s="706"/>
    </row>
    <row r="14" spans="1:9" ht="30.75" x14ac:dyDescent="0.7">
      <c r="A14" s="704"/>
      <c r="B14" s="704"/>
      <c r="C14" s="705"/>
      <c r="D14" s="706"/>
      <c r="E14" s="706"/>
      <c r="F14" s="704"/>
      <c r="G14" s="704"/>
      <c r="H14" s="705"/>
      <c r="I14" s="706"/>
    </row>
    <row r="15" spans="1:9" x14ac:dyDescent="0.55000000000000004">
      <c r="A15" s="707"/>
      <c r="B15" s="707"/>
      <c r="C15" s="429"/>
    </row>
    <row r="16" spans="1:9" x14ac:dyDescent="0.55000000000000004">
      <c r="A16" s="707"/>
      <c r="B16" s="707"/>
      <c r="C16" s="429"/>
    </row>
    <row r="17" spans="1:3" x14ac:dyDescent="0.55000000000000004">
      <c r="A17" s="707"/>
      <c r="B17" s="707"/>
      <c r="C17" s="429"/>
    </row>
    <row r="18" spans="1:3" x14ac:dyDescent="0.55000000000000004">
      <c r="A18" s="707"/>
      <c r="B18" s="707"/>
      <c r="C18" s="429"/>
    </row>
    <row r="19" spans="1:3" x14ac:dyDescent="0.55000000000000004">
      <c r="A19" s="707"/>
      <c r="B19" s="707"/>
      <c r="C19" s="429"/>
    </row>
    <row r="20" spans="1:3" x14ac:dyDescent="0.55000000000000004">
      <c r="A20" s="707"/>
      <c r="B20" s="707"/>
      <c r="C20" s="429"/>
    </row>
    <row r="21" spans="1:3" x14ac:dyDescent="0.55000000000000004">
      <c r="A21" s="707"/>
      <c r="B21" s="707"/>
      <c r="C21" s="429"/>
    </row>
    <row r="22" spans="1:3" x14ac:dyDescent="0.55000000000000004">
      <c r="A22" s="707"/>
      <c r="B22" s="707"/>
      <c r="C22" s="429"/>
    </row>
    <row r="23" spans="1:3" ht="27.75" x14ac:dyDescent="0.65">
      <c r="B23" s="708"/>
      <c r="C23" s="709"/>
    </row>
  </sheetData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40"/>
  <sheetViews>
    <sheetView zoomScaleNormal="100" zoomScaleSheetLayoutView="90" workbookViewId="0">
      <selection activeCell="A3" sqref="A3:N3"/>
    </sheetView>
  </sheetViews>
  <sheetFormatPr defaultRowHeight="21.75" customHeight="1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4.85546875" style="1" customWidth="1"/>
    <col min="6" max="6" width="14.5703125" style="264" customWidth="1"/>
    <col min="7" max="7" width="14.7109375" style="106" customWidth="1"/>
    <col min="8" max="8" width="14.7109375" style="106" hidden="1" customWidth="1"/>
    <col min="9" max="9" width="31.42578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3.140625" style="106" customWidth="1"/>
    <col min="15" max="15" width="4.42578125" style="441" customWidth="1"/>
    <col min="16" max="16" width="19.5703125" style="434" bestFit="1" customWidth="1"/>
    <col min="17" max="17" width="9.140625" style="434"/>
    <col min="18" max="18" width="13.5703125" style="434" bestFit="1" customWidth="1"/>
    <col min="19" max="19" width="9.140625" style="434"/>
    <col min="20" max="20" width="14.5703125" style="2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33"/>
      <c r="R1" s="434" t="s">
        <v>524</v>
      </c>
      <c r="T1" s="2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33"/>
      <c r="P2" s="435" t="s">
        <v>522</v>
      </c>
      <c r="Q2" s="434">
        <v>7</v>
      </c>
      <c r="R2" s="436" t="e">
        <f>+#REF!+#REF!+#REF!+#REF!+#REF!+#REF!+#REF!</f>
        <v>#REF!</v>
      </c>
      <c r="S2" s="467">
        <v>1</v>
      </c>
      <c r="T2" s="146" t="e">
        <f>+#REF!</f>
        <v>#REF!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33"/>
      <c r="P3" s="437" t="s">
        <v>523</v>
      </c>
      <c r="Q3" s="438">
        <v>3</v>
      </c>
      <c r="R3" s="439" t="e">
        <f>+#REF!+#REF!+#REF!</f>
        <v>#REF!</v>
      </c>
      <c r="S3" s="440">
        <v>14</v>
      </c>
      <c r="T3" s="430" t="e">
        <f>+#REF!+#REF!+#REF!+#REF!+#REF!+#REF!+#REF!+#REF!+#REF!+#REF!+#REF!+#REF!+#REF!+#REF!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2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27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</row>
    <row r="11" spans="1:39" s="19" customFormat="1" ht="65.25" x14ac:dyDescent="0.2">
      <c r="A11" s="486">
        <v>1</v>
      </c>
      <c r="B11" s="485"/>
      <c r="C11" s="558" t="s">
        <v>276</v>
      </c>
      <c r="D11" s="486" t="s">
        <v>105</v>
      </c>
      <c r="E11" s="530" t="s">
        <v>283</v>
      </c>
      <c r="F11" s="531">
        <v>8064000</v>
      </c>
      <c r="G11" s="484"/>
      <c r="H11" s="484"/>
      <c r="I11" s="554" t="s">
        <v>560</v>
      </c>
      <c r="J11" s="600"/>
      <c r="K11" s="548"/>
      <c r="L11" s="548"/>
      <c r="M11" s="554" t="s">
        <v>561</v>
      </c>
      <c r="N11" s="554"/>
      <c r="O11" s="464">
        <v>2</v>
      </c>
      <c r="P11" s="453"/>
      <c r="Q11" s="453"/>
      <c r="R11" s="453"/>
      <c r="S11" s="453"/>
    </row>
    <row r="12" spans="1:39" s="19" customFormat="1" ht="69" x14ac:dyDescent="0.2">
      <c r="A12" s="486">
        <v>2</v>
      </c>
      <c r="B12" s="486"/>
      <c r="C12" s="552" t="s">
        <v>303</v>
      </c>
      <c r="D12" s="486" t="s">
        <v>27</v>
      </c>
      <c r="E12" s="530" t="s">
        <v>374</v>
      </c>
      <c r="F12" s="488">
        <v>5100000</v>
      </c>
      <c r="G12" s="488"/>
      <c r="H12" s="488"/>
      <c r="I12" s="554" t="s">
        <v>562</v>
      </c>
      <c r="J12" s="600"/>
      <c r="K12" s="548"/>
      <c r="L12" s="548"/>
      <c r="M12" s="554" t="s">
        <v>561</v>
      </c>
      <c r="N12" s="554"/>
      <c r="O12" s="464">
        <v>2</v>
      </c>
      <c r="P12" s="453"/>
      <c r="Q12" s="453"/>
      <c r="R12" s="453"/>
      <c r="S12" s="453"/>
    </row>
    <row r="13" spans="1:39" s="19" customFormat="1" ht="105" x14ac:dyDescent="0.2">
      <c r="A13" s="275">
        <v>3</v>
      </c>
      <c r="B13" s="275" t="s">
        <v>27</v>
      </c>
      <c r="C13" s="517" t="s">
        <v>432</v>
      </c>
      <c r="D13" s="275" t="s">
        <v>27</v>
      </c>
      <c r="E13" s="518" t="s">
        <v>544</v>
      </c>
      <c r="F13" s="298">
        <v>49500</v>
      </c>
      <c r="G13" s="298"/>
      <c r="H13" s="298"/>
      <c r="I13" s="548"/>
      <c r="J13" s="557"/>
      <c r="K13" s="547"/>
      <c r="L13" s="547"/>
      <c r="M13" s="548"/>
      <c r="N13" s="548"/>
      <c r="O13" s="464"/>
      <c r="P13" s="453"/>
      <c r="Q13" s="453"/>
      <c r="R13" s="453"/>
      <c r="S13" s="453"/>
    </row>
    <row r="14" spans="1:39" s="19" customFormat="1" ht="105" x14ac:dyDescent="0.2">
      <c r="A14" s="275">
        <v>4</v>
      </c>
      <c r="B14" s="275" t="s">
        <v>27</v>
      </c>
      <c r="C14" s="517" t="s">
        <v>432</v>
      </c>
      <c r="D14" s="275" t="s">
        <v>27</v>
      </c>
      <c r="E14" s="518" t="s">
        <v>545</v>
      </c>
      <c r="F14" s="298">
        <v>183600</v>
      </c>
      <c r="G14" s="298"/>
      <c r="H14" s="298"/>
      <c r="I14" s="548"/>
      <c r="J14" s="557"/>
      <c r="K14" s="547"/>
      <c r="L14" s="547"/>
      <c r="M14" s="548"/>
      <c r="N14" s="548"/>
      <c r="O14" s="464"/>
      <c r="P14" s="453"/>
      <c r="Q14" s="453"/>
      <c r="R14" s="453"/>
      <c r="S14" s="453"/>
    </row>
    <row r="15" spans="1:39" s="19" customFormat="1" ht="105" x14ac:dyDescent="0.2">
      <c r="A15" s="275">
        <v>5</v>
      </c>
      <c r="B15" s="275" t="s">
        <v>27</v>
      </c>
      <c r="C15" s="517" t="s">
        <v>432</v>
      </c>
      <c r="D15" s="275" t="s">
        <v>27</v>
      </c>
      <c r="E15" s="518" t="s">
        <v>546</v>
      </c>
      <c r="F15" s="298">
        <v>207000</v>
      </c>
      <c r="G15" s="298"/>
      <c r="H15" s="298"/>
      <c r="I15" s="548"/>
      <c r="J15" s="557"/>
      <c r="K15" s="547"/>
      <c r="L15" s="547"/>
      <c r="M15" s="548"/>
      <c r="N15" s="548"/>
      <c r="O15" s="464"/>
      <c r="P15" s="453"/>
      <c r="Q15" s="453"/>
      <c r="R15" s="453"/>
      <c r="S15" s="453"/>
    </row>
    <row r="16" spans="1:39" s="9" customFormat="1" ht="21" customHeight="1" x14ac:dyDescent="0.2">
      <c r="A16" s="6"/>
      <c r="B16" s="13"/>
      <c r="C16" s="13"/>
      <c r="D16" s="13"/>
      <c r="E16" s="332"/>
      <c r="F16" s="257"/>
      <c r="G16" s="29"/>
      <c r="H16" s="29"/>
      <c r="I16" s="11"/>
      <c r="J16" s="280"/>
      <c r="K16" s="10"/>
      <c r="L16" s="10"/>
      <c r="M16" s="11"/>
      <c r="N16" s="11"/>
      <c r="O16" s="445"/>
      <c r="P16" s="437"/>
      <c r="Q16" s="437"/>
      <c r="R16" s="437"/>
      <c r="S16" s="437"/>
    </row>
    <row r="17" spans="1:19" s="14" customFormat="1" x14ac:dyDescent="0.5">
      <c r="A17" s="241">
        <f>+A15</f>
        <v>5</v>
      </c>
      <c r="B17" s="241"/>
      <c r="C17" s="241"/>
      <c r="D17" s="241"/>
      <c r="E17" s="242" t="s">
        <v>47</v>
      </c>
      <c r="F17" s="258">
        <f>SUM(F11:F16)</f>
        <v>13604100</v>
      </c>
      <c r="G17" s="243">
        <f>SUM(G16:G16)</f>
        <v>0</v>
      </c>
      <c r="H17" s="243">
        <f>SUM(H16:H16)</f>
        <v>0</v>
      </c>
      <c r="I17" s="258"/>
      <c r="J17" s="281">
        <f>SUM(J16:J16)</f>
        <v>0</v>
      </c>
      <c r="K17" s="258">
        <f>SUM(K16:K16)</f>
        <v>0</v>
      </c>
      <c r="L17" s="258">
        <f>SUM(L16:L16)</f>
        <v>0</v>
      </c>
      <c r="M17" s="258"/>
      <c r="N17" s="258"/>
      <c r="O17" s="449"/>
      <c r="P17" s="450">
        <f>+F17+G17</f>
        <v>13604100</v>
      </c>
      <c r="Q17" s="451"/>
      <c r="R17" s="451"/>
      <c r="S17" s="452"/>
    </row>
    <row r="18" spans="1:19" s="19" customFormat="1" x14ac:dyDescent="0.2">
      <c r="A18" s="17"/>
      <c r="B18" s="17"/>
      <c r="C18" s="17"/>
      <c r="D18" s="17"/>
      <c r="E18" s="30" t="s">
        <v>10</v>
      </c>
      <c r="F18" s="34"/>
      <c r="G18" s="33"/>
      <c r="H18" s="33"/>
      <c r="I18" s="34"/>
      <c r="J18" s="278"/>
      <c r="K18" s="18"/>
      <c r="L18" s="18"/>
      <c r="M18" s="34"/>
      <c r="N18" s="34"/>
      <c r="O18" s="445"/>
      <c r="P18" s="453"/>
      <c r="Q18" s="453"/>
      <c r="R18" s="453"/>
      <c r="S18" s="453"/>
    </row>
    <row r="19" spans="1:19" s="19" customFormat="1" ht="69" x14ac:dyDescent="0.2">
      <c r="A19" s="485">
        <v>1</v>
      </c>
      <c r="B19" s="485"/>
      <c r="C19" s="552" t="s">
        <v>303</v>
      </c>
      <c r="D19" s="486" t="s">
        <v>27</v>
      </c>
      <c r="E19" s="603" t="s">
        <v>375</v>
      </c>
      <c r="F19" s="602">
        <v>30925200</v>
      </c>
      <c r="G19" s="491"/>
      <c r="H19" s="491"/>
      <c r="I19" s="554" t="s">
        <v>553</v>
      </c>
      <c r="J19" s="600"/>
      <c r="K19" s="548"/>
      <c r="L19" s="548"/>
      <c r="M19" s="554" t="s">
        <v>553</v>
      </c>
      <c r="N19" s="554"/>
      <c r="O19" s="464">
        <v>2</v>
      </c>
      <c r="P19" s="453"/>
      <c r="Q19" s="453"/>
      <c r="R19" s="453"/>
      <c r="S19" s="453"/>
    </row>
    <row r="20" spans="1:19" s="19" customFormat="1" ht="69" x14ac:dyDescent="0.2">
      <c r="A20" s="486"/>
      <c r="B20" s="486"/>
      <c r="C20" s="552" t="s">
        <v>303</v>
      </c>
      <c r="D20" s="486" t="s">
        <v>27</v>
      </c>
      <c r="E20" s="601" t="s">
        <v>376</v>
      </c>
      <c r="F20" s="602"/>
      <c r="G20" s="492"/>
      <c r="H20" s="492"/>
      <c r="I20" s="581"/>
      <c r="J20" s="600"/>
      <c r="K20" s="548"/>
      <c r="L20" s="548"/>
      <c r="M20" s="581"/>
      <c r="N20" s="581"/>
      <c r="O20" s="464"/>
      <c r="P20" s="453"/>
      <c r="Q20" s="453"/>
      <c r="R20" s="453"/>
      <c r="S20" s="453"/>
    </row>
    <row r="21" spans="1:19" s="19" customFormat="1" ht="69" x14ac:dyDescent="0.2">
      <c r="A21" s="486">
        <v>2</v>
      </c>
      <c r="B21" s="486"/>
      <c r="C21" s="552" t="s">
        <v>303</v>
      </c>
      <c r="D21" s="486" t="s">
        <v>27</v>
      </c>
      <c r="E21" s="603" t="s">
        <v>377</v>
      </c>
      <c r="F21" s="602">
        <v>2500000</v>
      </c>
      <c r="G21" s="492"/>
      <c r="H21" s="492"/>
      <c r="I21" s="581" t="s">
        <v>553</v>
      </c>
      <c r="J21" s="600"/>
      <c r="K21" s="548"/>
      <c r="L21" s="548"/>
      <c r="M21" s="581" t="s">
        <v>563</v>
      </c>
      <c r="N21" s="581"/>
      <c r="O21" s="464">
        <v>2</v>
      </c>
      <c r="P21" s="453"/>
      <c r="Q21" s="453"/>
      <c r="R21" s="453"/>
      <c r="S21" s="453"/>
    </row>
    <row r="22" spans="1:19" s="19" customFormat="1" ht="69" x14ac:dyDescent="0.2">
      <c r="A22" s="486">
        <v>3</v>
      </c>
      <c r="B22" s="486"/>
      <c r="C22" s="552" t="s">
        <v>303</v>
      </c>
      <c r="D22" s="486" t="s">
        <v>27</v>
      </c>
      <c r="E22" s="603" t="s">
        <v>378</v>
      </c>
      <c r="F22" s="602">
        <v>3440500</v>
      </c>
      <c r="G22" s="492"/>
      <c r="H22" s="492"/>
      <c r="I22" s="581" t="s">
        <v>553</v>
      </c>
      <c r="J22" s="600"/>
      <c r="K22" s="548"/>
      <c r="L22" s="548"/>
      <c r="M22" s="581" t="s">
        <v>563</v>
      </c>
      <c r="N22" s="581"/>
      <c r="O22" s="464">
        <v>2</v>
      </c>
      <c r="P22" s="453"/>
      <c r="Q22" s="453"/>
      <c r="R22" s="453"/>
      <c r="S22" s="453"/>
    </row>
    <row r="23" spans="1:19" s="19" customFormat="1" ht="69" x14ac:dyDescent="0.2">
      <c r="A23" s="486">
        <v>4</v>
      </c>
      <c r="B23" s="486"/>
      <c r="C23" s="552" t="s">
        <v>303</v>
      </c>
      <c r="D23" s="486" t="s">
        <v>27</v>
      </c>
      <c r="E23" s="603" t="s">
        <v>379</v>
      </c>
      <c r="F23" s="602">
        <v>14745000</v>
      </c>
      <c r="G23" s="492"/>
      <c r="H23" s="492"/>
      <c r="I23" s="581" t="s">
        <v>553</v>
      </c>
      <c r="J23" s="600"/>
      <c r="K23" s="548"/>
      <c r="L23" s="548"/>
      <c r="M23" s="581" t="s">
        <v>563</v>
      </c>
      <c r="N23" s="581"/>
      <c r="O23" s="464">
        <v>2</v>
      </c>
      <c r="P23" s="453"/>
      <c r="Q23" s="453"/>
      <c r="R23" s="453"/>
      <c r="S23" s="453"/>
    </row>
    <row r="24" spans="1:19" s="19" customFormat="1" ht="69" x14ac:dyDescent="0.2">
      <c r="A24" s="486">
        <v>5</v>
      </c>
      <c r="B24" s="486"/>
      <c r="C24" s="552" t="s">
        <v>303</v>
      </c>
      <c r="D24" s="486" t="s">
        <v>27</v>
      </c>
      <c r="E24" s="603" t="s">
        <v>380</v>
      </c>
      <c r="F24" s="602">
        <v>19660000</v>
      </c>
      <c r="G24" s="492"/>
      <c r="H24" s="492"/>
      <c r="I24" s="581" t="s">
        <v>553</v>
      </c>
      <c r="J24" s="600"/>
      <c r="K24" s="548"/>
      <c r="L24" s="548"/>
      <c r="M24" s="581" t="s">
        <v>563</v>
      </c>
      <c r="N24" s="581"/>
      <c r="O24" s="464">
        <v>2</v>
      </c>
      <c r="P24" s="453"/>
      <c r="Q24" s="453"/>
      <c r="R24" s="453"/>
      <c r="S24" s="453"/>
    </row>
    <row r="25" spans="1:19" s="19" customFormat="1" ht="69" x14ac:dyDescent="0.2">
      <c r="A25" s="486">
        <v>6</v>
      </c>
      <c r="B25" s="486"/>
      <c r="C25" s="552" t="s">
        <v>303</v>
      </c>
      <c r="D25" s="486" t="s">
        <v>27</v>
      </c>
      <c r="E25" s="603" t="s">
        <v>381</v>
      </c>
      <c r="F25" s="602">
        <v>6000000</v>
      </c>
      <c r="G25" s="492"/>
      <c r="H25" s="492"/>
      <c r="I25" s="581" t="s">
        <v>553</v>
      </c>
      <c r="J25" s="600"/>
      <c r="K25" s="548"/>
      <c r="L25" s="548"/>
      <c r="M25" s="581" t="s">
        <v>563</v>
      </c>
      <c r="N25" s="581"/>
      <c r="O25" s="464">
        <v>2</v>
      </c>
      <c r="P25" s="453"/>
      <c r="Q25" s="453"/>
      <c r="R25" s="453"/>
      <c r="S25" s="453"/>
    </row>
    <row r="26" spans="1:19" s="19" customFormat="1" ht="69" x14ac:dyDescent="0.2">
      <c r="A26" s="486">
        <v>7</v>
      </c>
      <c r="B26" s="486"/>
      <c r="C26" s="552" t="s">
        <v>303</v>
      </c>
      <c r="D26" s="486" t="s">
        <v>27</v>
      </c>
      <c r="E26" s="603" t="s">
        <v>382</v>
      </c>
      <c r="F26" s="602">
        <v>19660000</v>
      </c>
      <c r="G26" s="492"/>
      <c r="H26" s="492"/>
      <c r="I26" s="581" t="s">
        <v>553</v>
      </c>
      <c r="J26" s="600"/>
      <c r="K26" s="548"/>
      <c r="L26" s="548"/>
      <c r="M26" s="581" t="s">
        <v>563</v>
      </c>
      <c r="N26" s="581"/>
      <c r="O26" s="464">
        <v>2</v>
      </c>
      <c r="P26" s="453"/>
      <c r="Q26" s="453"/>
      <c r="R26" s="453"/>
      <c r="S26" s="453"/>
    </row>
    <row r="27" spans="1:19" s="19" customFormat="1" ht="69" x14ac:dyDescent="0.2">
      <c r="A27" s="486">
        <v>8</v>
      </c>
      <c r="B27" s="486"/>
      <c r="C27" s="552" t="s">
        <v>303</v>
      </c>
      <c r="D27" s="486" t="s">
        <v>27</v>
      </c>
      <c r="E27" s="603" t="s">
        <v>383</v>
      </c>
      <c r="F27" s="602">
        <v>3000000</v>
      </c>
      <c r="G27" s="492"/>
      <c r="H27" s="492"/>
      <c r="I27" s="581" t="s">
        <v>553</v>
      </c>
      <c r="J27" s="600"/>
      <c r="K27" s="548"/>
      <c r="L27" s="548"/>
      <c r="M27" s="581" t="s">
        <v>563</v>
      </c>
      <c r="N27" s="581"/>
      <c r="O27" s="464">
        <v>2</v>
      </c>
      <c r="P27" s="453"/>
      <c r="Q27" s="453"/>
      <c r="R27" s="453"/>
      <c r="S27" s="453"/>
    </row>
    <row r="28" spans="1:19" s="19" customFormat="1" ht="69" x14ac:dyDescent="0.2">
      <c r="A28" s="275">
        <v>9</v>
      </c>
      <c r="B28" s="275"/>
      <c r="C28" s="560" t="s">
        <v>303</v>
      </c>
      <c r="D28" s="275" t="s">
        <v>27</v>
      </c>
      <c r="E28" s="604" t="s">
        <v>384</v>
      </c>
      <c r="F28" s="605">
        <v>2000000</v>
      </c>
      <c r="G28" s="366"/>
      <c r="H28" s="366"/>
      <c r="I28" s="551" t="s">
        <v>553</v>
      </c>
      <c r="J28" s="600"/>
      <c r="K28" s="548"/>
      <c r="L28" s="548"/>
      <c r="M28" s="551" t="s">
        <v>563</v>
      </c>
      <c r="N28" s="551"/>
      <c r="O28" s="464">
        <v>1</v>
      </c>
      <c r="P28" s="453"/>
      <c r="Q28" s="453"/>
      <c r="R28" s="453"/>
      <c r="S28" s="453"/>
    </row>
    <row r="29" spans="1:19" s="19" customFormat="1" ht="69" x14ac:dyDescent="0.2">
      <c r="A29" s="486">
        <v>10</v>
      </c>
      <c r="B29" s="486"/>
      <c r="C29" s="552" t="s">
        <v>303</v>
      </c>
      <c r="D29" s="486" t="s">
        <v>27</v>
      </c>
      <c r="E29" s="603" t="s">
        <v>385</v>
      </c>
      <c r="F29" s="602">
        <v>3000000</v>
      </c>
      <c r="G29" s="492"/>
      <c r="H29" s="492"/>
      <c r="I29" s="581" t="s">
        <v>553</v>
      </c>
      <c r="J29" s="600"/>
      <c r="K29" s="548"/>
      <c r="L29" s="548"/>
      <c r="M29" s="581" t="s">
        <v>563</v>
      </c>
      <c r="N29" s="581"/>
      <c r="O29" s="464">
        <v>2</v>
      </c>
      <c r="P29" s="453"/>
      <c r="Q29" s="453"/>
      <c r="R29" s="453"/>
      <c r="S29" s="453"/>
    </row>
    <row r="30" spans="1:19" s="19" customFormat="1" ht="108" customHeight="1" x14ac:dyDescent="0.2">
      <c r="A30" s="275">
        <v>11</v>
      </c>
      <c r="B30" s="275" t="s">
        <v>27</v>
      </c>
      <c r="C30" s="517" t="s">
        <v>543</v>
      </c>
      <c r="D30" s="275" t="s">
        <v>27</v>
      </c>
      <c r="E30" s="518" t="s">
        <v>547</v>
      </c>
      <c r="F30" s="605">
        <v>450000</v>
      </c>
      <c r="G30" s="366"/>
      <c r="H30" s="366"/>
      <c r="I30" s="551"/>
      <c r="J30" s="600"/>
      <c r="K30" s="548"/>
      <c r="L30" s="548"/>
      <c r="M30" s="551"/>
      <c r="N30" s="551"/>
      <c r="O30" s="464"/>
      <c r="P30" s="453"/>
      <c r="Q30" s="453"/>
      <c r="R30" s="453"/>
      <c r="S30" s="453"/>
    </row>
    <row r="31" spans="1:19" s="9" customFormat="1" x14ac:dyDescent="0.2">
      <c r="A31" s="6"/>
      <c r="B31" s="6"/>
      <c r="C31" s="6"/>
      <c r="D31" s="6"/>
      <c r="E31" s="332"/>
      <c r="F31" s="10"/>
      <c r="G31" s="29"/>
      <c r="H31" s="29"/>
      <c r="I31" s="11"/>
      <c r="J31" s="11"/>
      <c r="K31" s="10"/>
      <c r="L31" s="10"/>
      <c r="M31" s="11"/>
      <c r="N31" s="11"/>
      <c r="O31" s="445"/>
      <c r="P31" s="437"/>
      <c r="Q31" s="437"/>
      <c r="R31" s="437"/>
      <c r="S31" s="437"/>
    </row>
    <row r="32" spans="1:19" s="19" customFormat="1" ht="22.5" thickBot="1" x14ac:dyDescent="0.55000000000000004">
      <c r="A32" s="244">
        <f>+A30</f>
        <v>11</v>
      </c>
      <c r="B32" s="244"/>
      <c r="C32" s="244"/>
      <c r="D32" s="244"/>
      <c r="E32" s="245" t="s">
        <v>33</v>
      </c>
      <c r="F32" s="259">
        <f>SUM(F19:F31)</f>
        <v>105380700</v>
      </c>
      <c r="G32" s="246">
        <f>SUM(G31:G31)</f>
        <v>0</v>
      </c>
      <c r="H32" s="246">
        <f>SUM(H31:H31)</f>
        <v>0</v>
      </c>
      <c r="I32" s="259"/>
      <c r="J32" s="259">
        <f>SUM(J31:J31)</f>
        <v>0</v>
      </c>
      <c r="K32" s="259">
        <f>SUM(K31:K31)</f>
        <v>0</v>
      </c>
      <c r="L32" s="259">
        <f>SUM(L31:L31)</f>
        <v>0</v>
      </c>
      <c r="M32" s="259"/>
      <c r="N32" s="259"/>
      <c r="O32" s="443"/>
      <c r="P32" s="455">
        <f>+F32+G32</f>
        <v>105380700</v>
      </c>
      <c r="Q32" s="451"/>
      <c r="R32" s="451"/>
      <c r="S32" s="453"/>
    </row>
    <row r="33" spans="1:47" s="28" customFormat="1" ht="22.5" thickBot="1" x14ac:dyDescent="0.55000000000000004">
      <c r="A33" s="247">
        <f>+A17+A32</f>
        <v>16</v>
      </c>
      <c r="B33" s="248"/>
      <c r="C33" s="248"/>
      <c r="D33" s="248"/>
      <c r="E33" s="248" t="s">
        <v>180</v>
      </c>
      <c r="F33" s="260">
        <f>F17+F32</f>
        <v>118984800</v>
      </c>
      <c r="G33" s="310">
        <f>+G17+G32</f>
        <v>0</v>
      </c>
      <c r="H33" s="310">
        <f>+H17+H32</f>
        <v>0</v>
      </c>
      <c r="I33" s="249"/>
      <c r="J33" s="249">
        <f>J17+J32</f>
        <v>0</v>
      </c>
      <c r="K33" s="249">
        <f>K17+K32</f>
        <v>0</v>
      </c>
      <c r="L33" s="249">
        <f>L17+L32</f>
        <v>0</v>
      </c>
      <c r="M33" s="249"/>
      <c r="N33" s="249"/>
      <c r="O33" s="456"/>
      <c r="P33" s="450">
        <f>+P17+P32</f>
        <v>118984800</v>
      </c>
      <c r="Q33" s="457"/>
      <c r="R33" s="457"/>
      <c r="S33" s="434"/>
      <c r="T33" s="2"/>
      <c r="U33" s="2"/>
      <c r="V33" s="2"/>
      <c r="W33" s="2"/>
      <c r="X33" s="2"/>
      <c r="Y33" s="2"/>
      <c r="Z33" s="2"/>
      <c r="AA33" s="2"/>
      <c r="AB33" s="2"/>
    </row>
    <row r="34" spans="1:47" s="9" customFormat="1" x14ac:dyDescent="0.2">
      <c r="A34" s="15"/>
      <c r="B34" s="15"/>
      <c r="C34" s="15"/>
      <c r="D34" s="15"/>
      <c r="E34" s="31"/>
      <c r="F34" s="104"/>
      <c r="G34" s="20"/>
      <c r="H34" s="20"/>
      <c r="I34" s="20"/>
      <c r="J34" s="20"/>
      <c r="K34" s="104"/>
      <c r="L34" s="104"/>
      <c r="M34" s="20"/>
      <c r="N34" s="20"/>
      <c r="O34" s="445"/>
      <c r="P34" s="437"/>
      <c r="Q34" s="437"/>
      <c r="R34" s="437"/>
      <c r="S34" s="437"/>
    </row>
    <row r="35" spans="1:47" s="9" customFormat="1" x14ac:dyDescent="0.5">
      <c r="A35" s="15"/>
      <c r="B35" s="15"/>
      <c r="C35" s="15"/>
      <c r="D35" s="15"/>
      <c r="E35" s="31"/>
      <c r="F35" s="261"/>
      <c r="G35" s="20"/>
      <c r="H35" s="20"/>
      <c r="I35" s="20"/>
      <c r="J35" s="20"/>
      <c r="K35" s="104"/>
      <c r="L35" s="104"/>
      <c r="M35" s="20"/>
      <c r="N35" s="20"/>
      <c r="O35" s="445"/>
      <c r="P35" s="437"/>
      <c r="Q35" s="437"/>
      <c r="R35" s="437"/>
      <c r="S35" s="437"/>
    </row>
    <row r="37" spans="1:47" s="23" customFormat="1" x14ac:dyDescent="0.5">
      <c r="A37" s="22"/>
      <c r="B37" s="22"/>
      <c r="C37" s="22"/>
      <c r="D37" s="22"/>
      <c r="E37" s="81"/>
      <c r="F37" s="277"/>
      <c r="G37" s="125"/>
      <c r="H37" s="125"/>
      <c r="I37" s="125"/>
      <c r="J37" s="125"/>
      <c r="K37" s="190"/>
      <c r="L37" s="190"/>
      <c r="M37" s="125"/>
      <c r="N37" s="125"/>
      <c r="O37" s="441"/>
      <c r="P37" s="434"/>
      <c r="Q37" s="434"/>
      <c r="R37" s="434"/>
      <c r="S37" s="43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s="23" customFormat="1" x14ac:dyDescent="0.5">
      <c r="A38" s="22"/>
      <c r="B38" s="22"/>
      <c r="C38" s="22"/>
      <c r="D38" s="22"/>
      <c r="F38" s="263"/>
      <c r="G38" s="107"/>
      <c r="H38" s="107"/>
      <c r="I38" s="107"/>
      <c r="J38" s="107"/>
      <c r="K38" s="190"/>
      <c r="L38" s="190"/>
      <c r="M38" s="107"/>
      <c r="N38" s="107"/>
      <c r="O38" s="441"/>
      <c r="P38" s="434"/>
      <c r="Q38" s="434"/>
      <c r="R38" s="434"/>
      <c r="S38" s="43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</row>
    <row r="39" spans="1:47" s="23" customFormat="1" x14ac:dyDescent="0.5">
      <c r="A39" s="22"/>
      <c r="B39" s="22"/>
      <c r="C39" s="22"/>
      <c r="D39" s="22"/>
      <c r="F39" s="263"/>
      <c r="G39" s="107"/>
      <c r="H39" s="107"/>
      <c r="I39" s="107"/>
      <c r="J39" s="107"/>
      <c r="K39" s="190"/>
      <c r="L39" s="190"/>
      <c r="M39" s="107"/>
      <c r="N39" s="107"/>
      <c r="O39" s="441"/>
      <c r="P39" s="434"/>
      <c r="Q39" s="434"/>
      <c r="R39" s="434"/>
      <c r="S39" s="43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</row>
    <row r="40" spans="1:47" s="23" customFormat="1" x14ac:dyDescent="0.5">
      <c r="A40" s="22"/>
      <c r="B40" s="22"/>
      <c r="C40" s="22"/>
      <c r="D40" s="22"/>
      <c r="F40" s="263"/>
      <c r="G40" s="107"/>
      <c r="H40" s="107"/>
      <c r="I40" s="107"/>
      <c r="J40" s="107"/>
      <c r="K40" s="190"/>
      <c r="L40" s="190"/>
      <c r="M40" s="107"/>
      <c r="N40" s="107"/>
      <c r="O40" s="441"/>
      <c r="P40" s="434"/>
      <c r="Q40" s="434"/>
      <c r="R40" s="434"/>
      <c r="S40" s="43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</row>
  </sheetData>
  <autoFilter ref="O1:O40"/>
  <mergeCells count="21">
    <mergeCell ref="A1:N1"/>
    <mergeCell ref="A2:N2"/>
    <mergeCell ref="A3:N3"/>
    <mergeCell ref="I5:I8"/>
    <mergeCell ref="F5:H5"/>
    <mergeCell ref="H6:H8"/>
    <mergeCell ref="M5:M8"/>
    <mergeCell ref="N5:N8"/>
    <mergeCell ref="A5:A8"/>
    <mergeCell ref="B5:B8"/>
    <mergeCell ref="F4:G4"/>
    <mergeCell ref="R5:R8"/>
    <mergeCell ref="K5:K8"/>
    <mergeCell ref="L5:L8"/>
    <mergeCell ref="J5:J8"/>
    <mergeCell ref="C5:C8"/>
    <mergeCell ref="Q5:Q8"/>
    <mergeCell ref="G6:G8"/>
    <mergeCell ref="D5:D8"/>
    <mergeCell ref="E5:E8"/>
    <mergeCell ref="F6:F8"/>
  </mergeCells>
  <phoneticPr fontId="2" type="noConversion"/>
  <conditionalFormatting sqref="F12:F15">
    <cfRule type="cellIs" dxfId="91" priority="5" stopIfTrue="1" operator="between">
      <formula>2000001</formula>
      <formula>500000000</formula>
    </cfRule>
  </conditionalFormatting>
  <conditionalFormatting sqref="F11">
    <cfRule type="cellIs" dxfId="90" priority="4" stopIfTrue="1" operator="between">
      <formula>2000001</formula>
      <formula>500000000</formula>
    </cfRule>
  </conditionalFormatting>
  <conditionalFormatting sqref="F20:F30">
    <cfRule type="cellIs" dxfId="89" priority="3" stopIfTrue="1" operator="between">
      <formula>2000001</formula>
      <formula>500000000</formula>
    </cfRule>
  </conditionalFormatting>
  <conditionalFormatting sqref="F19">
    <cfRule type="cellIs" dxfId="88" priority="1" stopIfTrue="1" operator="between">
      <formula>2000001</formula>
      <formula>500000000</formula>
    </cfRule>
  </conditionalFormatting>
  <pageMargins left="0.62992125984251968" right="0.6692913385826772" top="0.39370078740157483" bottom="0.15748031496062992" header="0.35433070866141736" footer="0.31496062992125984"/>
  <pageSetup paperSize="9" scale="9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27"/>
  <sheetViews>
    <sheetView zoomScaleNormal="100" zoomScaleSheetLayoutView="9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264" customWidth="1"/>
    <col min="7" max="7" width="13.5703125" style="106" customWidth="1"/>
    <col min="8" max="8" width="13.5703125" style="106" hidden="1" customWidth="1"/>
    <col min="9" max="9" width="35.5703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5.5703125" style="106" customWidth="1"/>
    <col min="15" max="15" width="4.5703125" style="441" customWidth="1"/>
    <col min="16" max="16" width="17.42578125" style="434" customWidth="1"/>
    <col min="17" max="17" width="9.140625" style="434"/>
    <col min="18" max="18" width="12.42578125" style="434" bestFit="1" customWidth="1"/>
    <col min="19" max="19" width="9.140625" style="434"/>
    <col min="20" max="20" width="13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6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6"/>
      <c r="P2" s="435" t="s">
        <v>522</v>
      </c>
      <c r="Q2" s="434" t="s">
        <v>209</v>
      </c>
      <c r="R2" s="436" t="s">
        <v>209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6"/>
      <c r="P3" s="437" t="s">
        <v>523</v>
      </c>
      <c r="Q3" s="438">
        <v>1</v>
      </c>
      <c r="R3" s="439" t="e">
        <f>+#REF!</f>
        <v>#REF!</v>
      </c>
      <c r="S3" s="440">
        <v>4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23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hidden="1" x14ac:dyDescent="0.2">
      <c r="A10" s="6"/>
      <c r="B10" s="6"/>
      <c r="C10" s="6"/>
      <c r="D10" s="6"/>
      <c r="E10" s="17" t="s">
        <v>37</v>
      </c>
      <c r="F10" s="338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109.5" hidden="1" customHeight="1" x14ac:dyDescent="0.2">
      <c r="A11" s="275"/>
      <c r="B11" s="275"/>
      <c r="C11" s="517"/>
      <c r="D11" s="275"/>
      <c r="E11" s="518"/>
      <c r="F11" s="519"/>
      <c r="G11" s="34"/>
      <c r="H11" s="606"/>
      <c r="I11" s="607"/>
      <c r="J11" s="549"/>
      <c r="K11" s="549"/>
      <c r="L11" s="549"/>
      <c r="M11" s="607"/>
      <c r="N11" s="607"/>
      <c r="O11" s="464"/>
      <c r="P11" s="453"/>
      <c r="Q11" s="453"/>
      <c r="R11" s="453"/>
      <c r="S11" s="453"/>
      <c r="T11" s="453"/>
    </row>
    <row r="12" spans="1:39" s="19" customFormat="1" ht="109.5" hidden="1" customHeight="1" x14ac:dyDescent="0.2">
      <c r="A12" s="275"/>
      <c r="B12" s="275"/>
      <c r="C12" s="517"/>
      <c r="D12" s="275"/>
      <c r="E12" s="518"/>
      <c r="F12" s="519"/>
      <c r="G12" s="34"/>
      <c r="H12" s="606"/>
      <c r="I12" s="607"/>
      <c r="J12" s="549"/>
      <c r="K12" s="549"/>
      <c r="L12" s="549"/>
      <c r="M12" s="607"/>
      <c r="N12" s="607"/>
      <c r="O12" s="464"/>
      <c r="P12" s="453"/>
      <c r="Q12" s="453"/>
      <c r="R12" s="453"/>
      <c r="S12" s="453"/>
      <c r="T12" s="453"/>
    </row>
    <row r="13" spans="1:39" s="19" customFormat="1" ht="109.5" hidden="1" customHeight="1" x14ac:dyDescent="0.2">
      <c r="A13" s="275"/>
      <c r="B13" s="275"/>
      <c r="C13" s="517"/>
      <c r="D13" s="275"/>
      <c r="E13" s="518"/>
      <c r="F13" s="519"/>
      <c r="G13" s="34"/>
      <c r="H13" s="606"/>
      <c r="I13" s="608"/>
      <c r="J13" s="609"/>
      <c r="K13" s="609"/>
      <c r="L13" s="609"/>
      <c r="M13" s="608"/>
      <c r="N13" s="608"/>
      <c r="O13" s="464"/>
      <c r="P13" s="453"/>
      <c r="Q13" s="453"/>
      <c r="R13" s="453"/>
      <c r="S13" s="453"/>
      <c r="T13" s="453"/>
    </row>
    <row r="14" spans="1:39" s="9" customFormat="1" hidden="1" x14ac:dyDescent="0.2">
      <c r="A14" s="6"/>
      <c r="B14" s="13"/>
      <c r="C14" s="13"/>
      <c r="D14" s="13"/>
      <c r="E14" s="332"/>
      <c r="F14" s="334"/>
      <c r="G14" s="29"/>
      <c r="H14" s="29"/>
      <c r="I14" s="11"/>
      <c r="J14" s="11"/>
      <c r="K14" s="10"/>
      <c r="L14" s="10"/>
      <c r="M14" s="11"/>
      <c r="N14" s="11"/>
      <c r="O14" s="445"/>
      <c r="P14" s="437"/>
      <c r="Q14" s="437"/>
      <c r="R14" s="437"/>
      <c r="S14" s="437"/>
      <c r="T14" s="437"/>
    </row>
    <row r="15" spans="1:39" s="14" customFormat="1" hidden="1" x14ac:dyDescent="0.5">
      <c r="A15" s="241">
        <f>+A13</f>
        <v>0</v>
      </c>
      <c r="B15" s="241"/>
      <c r="C15" s="241"/>
      <c r="D15" s="241"/>
      <c r="E15" s="242" t="s">
        <v>47</v>
      </c>
      <c r="F15" s="329">
        <f>SUM(F11:F14)</f>
        <v>0</v>
      </c>
      <c r="G15" s="243">
        <f>SUM(G14:G14)</f>
        <v>0</v>
      </c>
      <c r="H15" s="243">
        <f>SUM(H14:H14)</f>
        <v>0</v>
      </c>
      <c r="I15" s="258"/>
      <c r="J15" s="258">
        <f>SUM(J14:J14)</f>
        <v>0</v>
      </c>
      <c r="K15" s="258">
        <f>SUM(K14:K14)</f>
        <v>0</v>
      </c>
      <c r="L15" s="258">
        <f>SUM(L14:L14)</f>
        <v>0</v>
      </c>
      <c r="M15" s="258"/>
      <c r="N15" s="258"/>
      <c r="O15" s="449"/>
      <c r="P15" s="450">
        <f>+F15+G15</f>
        <v>0</v>
      </c>
      <c r="Q15" s="451"/>
      <c r="R15" s="451"/>
      <c r="S15" s="452"/>
      <c r="T15" s="452"/>
    </row>
    <row r="16" spans="1:39" s="19" customFormat="1" x14ac:dyDescent="0.2">
      <c r="A16" s="17"/>
      <c r="B16" s="17"/>
      <c r="C16" s="17"/>
      <c r="D16" s="17"/>
      <c r="E16" s="30" t="s">
        <v>10</v>
      </c>
      <c r="F16" s="34"/>
      <c r="G16" s="34"/>
      <c r="H16" s="34"/>
      <c r="I16" s="34"/>
      <c r="J16" s="34"/>
      <c r="K16" s="18"/>
      <c r="L16" s="18"/>
      <c r="M16" s="34"/>
      <c r="N16" s="34"/>
      <c r="O16" s="445"/>
      <c r="P16" s="453"/>
      <c r="Q16" s="453"/>
      <c r="R16" s="453"/>
      <c r="S16" s="453"/>
      <c r="T16" s="453"/>
    </row>
    <row r="17" spans="1:47" s="302" customFormat="1" ht="118.5" customHeight="1" x14ac:dyDescent="0.2">
      <c r="A17" s="275">
        <v>1</v>
      </c>
      <c r="B17" s="275" t="s">
        <v>23</v>
      </c>
      <c r="C17" s="517" t="s">
        <v>432</v>
      </c>
      <c r="D17" s="275" t="s">
        <v>23</v>
      </c>
      <c r="E17" s="518" t="s">
        <v>547</v>
      </c>
      <c r="F17" s="605">
        <v>400000</v>
      </c>
      <c r="G17" s="366"/>
      <c r="H17" s="366"/>
      <c r="I17" s="610"/>
      <c r="J17" s="513"/>
      <c r="K17" s="514"/>
      <c r="L17" s="514"/>
      <c r="M17" s="610"/>
      <c r="N17" s="610"/>
      <c r="O17" s="464">
        <v>2</v>
      </c>
      <c r="P17" s="454"/>
      <c r="Q17" s="454"/>
      <c r="R17" s="454"/>
      <c r="S17" s="454"/>
      <c r="T17" s="454"/>
    </row>
    <row r="18" spans="1:47" s="9" customFormat="1" x14ac:dyDescent="0.2">
      <c r="A18" s="6"/>
      <c r="B18" s="6"/>
      <c r="C18" s="6"/>
      <c r="D18" s="6"/>
      <c r="E18" s="7"/>
      <c r="F18" s="335"/>
      <c r="G18" s="29"/>
      <c r="H18" s="29"/>
      <c r="I18" s="11"/>
      <c r="J18" s="11"/>
      <c r="K18" s="10"/>
      <c r="L18" s="10"/>
      <c r="M18" s="11"/>
      <c r="N18" s="11"/>
      <c r="O18" s="445"/>
      <c r="P18" s="437"/>
      <c r="Q18" s="437"/>
      <c r="R18" s="437"/>
      <c r="S18" s="437"/>
      <c r="T18" s="437"/>
    </row>
    <row r="19" spans="1:47" s="19" customFormat="1" ht="24" customHeight="1" thickBot="1" x14ac:dyDescent="0.55000000000000004">
      <c r="A19" s="244">
        <f>+A17</f>
        <v>1</v>
      </c>
      <c r="B19" s="244"/>
      <c r="C19" s="244"/>
      <c r="D19" s="244"/>
      <c r="E19" s="245" t="s">
        <v>33</v>
      </c>
      <c r="F19" s="330">
        <f>SUM(F17:F18)</f>
        <v>400000</v>
      </c>
      <c r="G19" s="246">
        <f>SUM(G17:G18)</f>
        <v>0</v>
      </c>
      <c r="H19" s="246">
        <f>SUM(H17:H18)</f>
        <v>0</v>
      </c>
      <c r="I19" s="259"/>
      <c r="J19" s="259">
        <f>SUM(J17:J18)</f>
        <v>0</v>
      </c>
      <c r="K19" s="259">
        <f>SUM(K17:K18)</f>
        <v>0</v>
      </c>
      <c r="L19" s="259">
        <f>SUM(L17:L18)</f>
        <v>0</v>
      </c>
      <c r="M19" s="259"/>
      <c r="N19" s="259"/>
      <c r="O19" s="443"/>
      <c r="P19" s="455">
        <f>+F19+G19</f>
        <v>400000</v>
      </c>
      <c r="Q19" s="451"/>
      <c r="R19" s="451"/>
      <c r="S19" s="453"/>
      <c r="T19" s="453"/>
    </row>
    <row r="20" spans="1:47" s="28" customFormat="1" ht="22.5" thickBot="1" x14ac:dyDescent="0.55000000000000004">
      <c r="A20" s="247">
        <f>+A15+A19</f>
        <v>1</v>
      </c>
      <c r="B20" s="248"/>
      <c r="C20" s="248"/>
      <c r="D20" s="248"/>
      <c r="E20" s="248" t="s">
        <v>181</v>
      </c>
      <c r="F20" s="331">
        <f>F15+F19</f>
        <v>400000</v>
      </c>
      <c r="G20" s="310">
        <f>+G15+G19</f>
        <v>0</v>
      </c>
      <c r="H20" s="310">
        <f>+H15+H19</f>
        <v>0</v>
      </c>
      <c r="I20" s="249"/>
      <c r="J20" s="249">
        <f>J15+J19</f>
        <v>0</v>
      </c>
      <c r="K20" s="249">
        <f>K15+K19</f>
        <v>0</v>
      </c>
      <c r="L20" s="249">
        <f>L15+L19</f>
        <v>0</v>
      </c>
      <c r="M20" s="249"/>
      <c r="N20" s="249"/>
      <c r="O20" s="456"/>
      <c r="P20" s="450">
        <f>+P15+P19</f>
        <v>400000</v>
      </c>
      <c r="Q20" s="457"/>
      <c r="R20" s="457"/>
      <c r="S20" s="434"/>
      <c r="T20" s="434"/>
      <c r="U20" s="2"/>
      <c r="V20" s="2"/>
      <c r="W20" s="2"/>
      <c r="X20" s="2"/>
      <c r="Y20" s="2"/>
      <c r="Z20" s="2"/>
      <c r="AA20" s="2"/>
      <c r="AB20" s="2"/>
    </row>
    <row r="21" spans="1:47" s="9" customFormat="1" x14ac:dyDescent="0.2">
      <c r="A21" s="15"/>
      <c r="B21" s="15"/>
      <c r="C21" s="15"/>
      <c r="D21" s="15"/>
      <c r="E21" s="31"/>
      <c r="F21" s="104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2" spans="1:47" s="9" customFormat="1" x14ac:dyDescent="0.5">
      <c r="A22" s="15"/>
      <c r="B22" s="15"/>
      <c r="C22" s="15"/>
      <c r="D22" s="15"/>
      <c r="E22" s="31"/>
      <c r="F22" s="261"/>
      <c r="G22" s="20"/>
      <c r="H22" s="20"/>
      <c r="I22" s="20"/>
      <c r="J22" s="20"/>
      <c r="K22" s="104"/>
      <c r="L22" s="104"/>
      <c r="M22" s="20"/>
      <c r="N22" s="20"/>
      <c r="O22" s="445"/>
      <c r="P22" s="437"/>
      <c r="Q22" s="437"/>
      <c r="R22" s="437"/>
      <c r="S22" s="437"/>
      <c r="T22" s="437"/>
    </row>
    <row r="24" spans="1:47" s="23" customFormat="1" x14ac:dyDescent="0.5">
      <c r="A24" s="22"/>
      <c r="B24" s="22"/>
      <c r="C24" s="22"/>
      <c r="D24" s="22"/>
      <c r="E24" s="81"/>
      <c r="F24" s="277"/>
      <c r="G24" s="125"/>
      <c r="H24" s="125"/>
      <c r="I24" s="125"/>
      <c r="J24" s="125"/>
      <c r="K24" s="190"/>
      <c r="L24" s="190"/>
      <c r="M24" s="125"/>
      <c r="N24" s="125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63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s="23" customFormat="1" x14ac:dyDescent="0.5">
      <c r="A27" s="22"/>
      <c r="B27" s="22"/>
      <c r="C27" s="22"/>
      <c r="D27" s="22"/>
      <c r="F27" s="263"/>
      <c r="G27" s="107"/>
      <c r="H27" s="107"/>
      <c r="I27" s="107"/>
      <c r="J27" s="107"/>
      <c r="K27" s="190"/>
      <c r="L27" s="190"/>
      <c r="M27" s="107"/>
      <c r="N27" s="107"/>
      <c r="O27" s="441"/>
      <c r="P27" s="434"/>
      <c r="Q27" s="434"/>
      <c r="R27" s="434"/>
      <c r="S27" s="434"/>
      <c r="T27" s="43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</sheetData>
  <autoFilter ref="O1:O27"/>
  <mergeCells count="21">
    <mergeCell ref="A1:N1"/>
    <mergeCell ref="A2:N2"/>
    <mergeCell ref="A3:N3"/>
    <mergeCell ref="F6:F8"/>
    <mergeCell ref="G6:G8"/>
    <mergeCell ref="K5:K8"/>
    <mergeCell ref="L5:L8"/>
    <mergeCell ref="N5:N8"/>
    <mergeCell ref="A5:A8"/>
    <mergeCell ref="F4:G4"/>
    <mergeCell ref="Q5:Q8"/>
    <mergeCell ref="R5:R8"/>
    <mergeCell ref="B5:B8"/>
    <mergeCell ref="J5:J8"/>
    <mergeCell ref="C5:C8"/>
    <mergeCell ref="D5:D8"/>
    <mergeCell ref="E5:E8"/>
    <mergeCell ref="F5:H5"/>
    <mergeCell ref="I5:I8"/>
    <mergeCell ref="H6:H8"/>
    <mergeCell ref="M5:M8"/>
  </mergeCells>
  <phoneticPr fontId="2" type="noConversion"/>
  <conditionalFormatting sqref="F11:F12">
    <cfRule type="cellIs" dxfId="87" priority="2" stopIfTrue="1" operator="between">
      <formula>2000001</formula>
      <formula>500000000</formula>
    </cfRule>
  </conditionalFormatting>
  <conditionalFormatting sqref="F17">
    <cfRule type="cellIs" dxfId="86" priority="1" stopIfTrue="1" operator="between">
      <formula>2000001</formula>
      <formula>500000000</formula>
    </cfRule>
  </conditionalFormatting>
  <pageMargins left="0.74803149606299213" right="0.74803149606299213" top="0.31496062992125984" bottom="0.15748031496062992" header="0.35433070866141736" footer="0.27559055118110237"/>
  <pageSetup paperSize="9" scale="85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43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5" style="1" customWidth="1"/>
    <col min="6" max="6" width="15.140625" style="264" customWidth="1"/>
    <col min="7" max="7" width="15.42578125" style="106" customWidth="1"/>
    <col min="8" max="8" width="15.42578125" style="106" hidden="1" customWidth="1"/>
    <col min="9" max="9" width="31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140625" style="106" customWidth="1"/>
    <col min="15" max="15" width="4.85546875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33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33"/>
      <c r="P2" s="435" t="s">
        <v>522</v>
      </c>
      <c r="Q2" s="434">
        <v>12</v>
      </c>
      <c r="R2" s="436" t="e">
        <f>SUM(#REF!)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33"/>
      <c r="P3" s="437" t="s">
        <v>523</v>
      </c>
      <c r="Q3" s="438" t="s">
        <v>209</v>
      </c>
      <c r="R3" s="439" t="s">
        <v>209</v>
      </c>
      <c r="S3" s="440">
        <v>9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24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338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65.25" x14ac:dyDescent="0.2">
      <c r="A11" s="275">
        <v>1</v>
      </c>
      <c r="B11" s="275"/>
      <c r="C11" s="517" t="s">
        <v>293</v>
      </c>
      <c r="D11" s="275" t="s">
        <v>24</v>
      </c>
      <c r="E11" s="611" t="s">
        <v>387</v>
      </c>
      <c r="F11" s="612">
        <v>600000</v>
      </c>
      <c r="G11" s="366"/>
      <c r="H11" s="366"/>
      <c r="I11" s="514" t="s">
        <v>564</v>
      </c>
      <c r="J11" s="546"/>
      <c r="K11" s="547"/>
      <c r="L11" s="547"/>
      <c r="M11" s="514" t="s">
        <v>565</v>
      </c>
      <c r="N11" s="514"/>
      <c r="O11" s="464">
        <v>1</v>
      </c>
      <c r="P11" s="453"/>
      <c r="Q11" s="453"/>
      <c r="R11" s="453"/>
      <c r="S11" s="453"/>
      <c r="T11" s="453"/>
    </row>
    <row r="12" spans="1:39" s="19" customFormat="1" ht="65.25" x14ac:dyDescent="0.2">
      <c r="A12" s="275">
        <v>2</v>
      </c>
      <c r="B12" s="275"/>
      <c r="C12" s="517" t="s">
        <v>293</v>
      </c>
      <c r="D12" s="275" t="s">
        <v>24</v>
      </c>
      <c r="E12" s="611" t="s">
        <v>388</v>
      </c>
      <c r="F12" s="612">
        <v>800000</v>
      </c>
      <c r="G12" s="366"/>
      <c r="H12" s="366"/>
      <c r="I12" s="548" t="s">
        <v>566</v>
      </c>
      <c r="J12" s="546"/>
      <c r="K12" s="547"/>
      <c r="L12" s="547"/>
      <c r="M12" s="548" t="s">
        <v>567</v>
      </c>
      <c r="N12" s="548"/>
      <c r="O12" s="464">
        <v>1</v>
      </c>
      <c r="P12" s="453"/>
      <c r="Q12" s="453"/>
      <c r="R12" s="453"/>
      <c r="S12" s="453"/>
      <c r="T12" s="453"/>
    </row>
    <row r="13" spans="1:39" s="19" customFormat="1" ht="65.25" x14ac:dyDescent="0.2">
      <c r="A13" s="275">
        <v>3</v>
      </c>
      <c r="B13" s="275"/>
      <c r="C13" s="517" t="s">
        <v>293</v>
      </c>
      <c r="D13" s="275" t="s">
        <v>24</v>
      </c>
      <c r="E13" s="611" t="s">
        <v>389</v>
      </c>
      <c r="F13" s="612">
        <v>900000</v>
      </c>
      <c r="G13" s="366"/>
      <c r="H13" s="366"/>
      <c r="I13" s="548" t="s">
        <v>568</v>
      </c>
      <c r="J13" s="546"/>
      <c r="K13" s="547"/>
      <c r="L13" s="547"/>
      <c r="M13" s="548" t="s">
        <v>569</v>
      </c>
      <c r="N13" s="548"/>
      <c r="O13" s="464">
        <v>1</v>
      </c>
      <c r="P13" s="453"/>
      <c r="Q13" s="453"/>
      <c r="R13" s="453"/>
      <c r="S13" s="453"/>
      <c r="T13" s="453"/>
    </row>
    <row r="14" spans="1:39" s="19" customFormat="1" ht="65.25" x14ac:dyDescent="0.2">
      <c r="A14" s="275">
        <v>4</v>
      </c>
      <c r="B14" s="275"/>
      <c r="C14" s="517" t="s">
        <v>293</v>
      </c>
      <c r="D14" s="275" t="s">
        <v>24</v>
      </c>
      <c r="E14" s="611" t="s">
        <v>390</v>
      </c>
      <c r="F14" s="612">
        <v>1239000</v>
      </c>
      <c r="G14" s="366"/>
      <c r="H14" s="366"/>
      <c r="I14" s="548" t="s">
        <v>570</v>
      </c>
      <c r="J14" s="546"/>
      <c r="K14" s="547"/>
      <c r="L14" s="547"/>
      <c r="M14" s="548" t="s">
        <v>571</v>
      </c>
      <c r="N14" s="548"/>
      <c r="O14" s="464">
        <v>1</v>
      </c>
      <c r="P14" s="453"/>
      <c r="Q14" s="453"/>
      <c r="R14" s="453"/>
      <c r="S14" s="453"/>
      <c r="T14" s="453"/>
    </row>
    <row r="15" spans="1:39" s="19" customFormat="1" ht="65.25" x14ac:dyDescent="0.2">
      <c r="A15" s="275">
        <v>5</v>
      </c>
      <c r="B15" s="275"/>
      <c r="C15" s="517" t="s">
        <v>293</v>
      </c>
      <c r="D15" s="275" t="s">
        <v>24</v>
      </c>
      <c r="E15" s="611" t="s">
        <v>391</v>
      </c>
      <c r="F15" s="612">
        <v>884000</v>
      </c>
      <c r="G15" s="366"/>
      <c r="H15" s="366"/>
      <c r="I15" s="548" t="s">
        <v>572</v>
      </c>
      <c r="J15" s="546"/>
      <c r="K15" s="547"/>
      <c r="L15" s="547"/>
      <c r="M15" s="548" t="s">
        <v>573</v>
      </c>
      <c r="N15" s="548"/>
      <c r="O15" s="464">
        <v>1</v>
      </c>
      <c r="P15" s="453"/>
      <c r="Q15" s="453"/>
      <c r="R15" s="453"/>
      <c r="S15" s="453"/>
      <c r="T15" s="453"/>
    </row>
    <row r="16" spans="1:39" s="19" customFormat="1" ht="65.25" x14ac:dyDescent="0.2">
      <c r="A16" s="275">
        <v>6</v>
      </c>
      <c r="B16" s="275"/>
      <c r="C16" s="517" t="s">
        <v>293</v>
      </c>
      <c r="D16" s="275" t="s">
        <v>24</v>
      </c>
      <c r="E16" s="611" t="s">
        <v>393</v>
      </c>
      <c r="F16" s="612">
        <v>1140000</v>
      </c>
      <c r="G16" s="366"/>
      <c r="H16" s="366"/>
      <c r="I16" s="548" t="s">
        <v>574</v>
      </c>
      <c r="J16" s="546"/>
      <c r="K16" s="547"/>
      <c r="L16" s="547"/>
      <c r="M16" s="548" t="s">
        <v>575</v>
      </c>
      <c r="N16" s="548"/>
      <c r="O16" s="464">
        <v>1</v>
      </c>
      <c r="P16" s="453"/>
      <c r="Q16" s="453"/>
      <c r="R16" s="453"/>
      <c r="S16" s="453"/>
      <c r="T16" s="453"/>
    </row>
    <row r="17" spans="1:20" s="19" customFormat="1" ht="65.25" x14ac:dyDescent="0.2">
      <c r="A17" s="275">
        <v>7</v>
      </c>
      <c r="B17" s="275"/>
      <c r="C17" s="517" t="s">
        <v>293</v>
      </c>
      <c r="D17" s="275" t="s">
        <v>24</v>
      </c>
      <c r="E17" s="611" t="s">
        <v>392</v>
      </c>
      <c r="F17" s="612">
        <v>547500</v>
      </c>
      <c r="G17" s="366"/>
      <c r="H17" s="366"/>
      <c r="I17" s="548" t="s">
        <v>576</v>
      </c>
      <c r="J17" s="546"/>
      <c r="K17" s="547"/>
      <c r="L17" s="547"/>
      <c r="M17" s="548" t="s">
        <v>577</v>
      </c>
      <c r="N17" s="548"/>
      <c r="O17" s="464">
        <v>1</v>
      </c>
      <c r="P17" s="453"/>
      <c r="Q17" s="453"/>
      <c r="R17" s="453"/>
      <c r="S17" s="453"/>
      <c r="T17" s="453"/>
    </row>
    <row r="18" spans="1:20" s="19" customFormat="1" ht="65.25" x14ac:dyDescent="0.2">
      <c r="A18" s="275">
        <v>8</v>
      </c>
      <c r="B18" s="275"/>
      <c r="C18" s="517" t="s">
        <v>293</v>
      </c>
      <c r="D18" s="275" t="s">
        <v>24</v>
      </c>
      <c r="E18" s="611" t="s">
        <v>394</v>
      </c>
      <c r="F18" s="612">
        <v>200000</v>
      </c>
      <c r="G18" s="366"/>
      <c r="H18" s="366"/>
      <c r="I18" s="548" t="s">
        <v>578</v>
      </c>
      <c r="J18" s="546"/>
      <c r="K18" s="547"/>
      <c r="L18" s="547"/>
      <c r="M18" s="548" t="s">
        <v>579</v>
      </c>
      <c r="N18" s="548"/>
      <c r="O18" s="464">
        <v>1</v>
      </c>
      <c r="P18" s="453"/>
      <c r="Q18" s="453"/>
      <c r="R18" s="453"/>
      <c r="S18" s="453"/>
      <c r="T18" s="453"/>
    </row>
    <row r="19" spans="1:20" s="19" customFormat="1" ht="65.25" x14ac:dyDescent="0.2">
      <c r="A19" s="275">
        <v>9</v>
      </c>
      <c r="B19" s="275"/>
      <c r="C19" s="517" t="s">
        <v>293</v>
      </c>
      <c r="D19" s="275" t="s">
        <v>24</v>
      </c>
      <c r="E19" s="611" t="s">
        <v>395</v>
      </c>
      <c r="F19" s="612">
        <v>981000</v>
      </c>
      <c r="G19" s="366"/>
      <c r="H19" s="366"/>
      <c r="I19" s="548" t="s">
        <v>578</v>
      </c>
      <c r="J19" s="546"/>
      <c r="K19" s="547"/>
      <c r="L19" s="547"/>
      <c r="M19" s="548" t="s">
        <v>580</v>
      </c>
      <c r="N19" s="548"/>
      <c r="O19" s="464">
        <v>1</v>
      </c>
      <c r="P19" s="453"/>
      <c r="Q19" s="453"/>
      <c r="R19" s="453"/>
      <c r="S19" s="453"/>
      <c r="T19" s="453"/>
    </row>
    <row r="20" spans="1:20" s="19" customFormat="1" ht="65.25" x14ac:dyDescent="0.2">
      <c r="A20" s="275">
        <v>10</v>
      </c>
      <c r="B20" s="275"/>
      <c r="C20" s="517" t="s">
        <v>293</v>
      </c>
      <c r="D20" s="275" t="s">
        <v>24</v>
      </c>
      <c r="E20" s="611" t="s">
        <v>396</v>
      </c>
      <c r="F20" s="612">
        <v>240000</v>
      </c>
      <c r="G20" s="366"/>
      <c r="H20" s="366"/>
      <c r="I20" s="548" t="s">
        <v>576</v>
      </c>
      <c r="J20" s="546"/>
      <c r="K20" s="547"/>
      <c r="L20" s="547"/>
      <c r="M20" s="548" t="s">
        <v>581</v>
      </c>
      <c r="N20" s="548"/>
      <c r="O20" s="464">
        <v>1</v>
      </c>
      <c r="P20" s="453"/>
      <c r="Q20" s="453"/>
      <c r="R20" s="453"/>
      <c r="S20" s="453"/>
      <c r="T20" s="453"/>
    </row>
    <row r="21" spans="1:20" s="19" customFormat="1" ht="65.25" x14ac:dyDescent="0.2">
      <c r="A21" s="275">
        <v>11</v>
      </c>
      <c r="B21" s="275"/>
      <c r="C21" s="517" t="s">
        <v>293</v>
      </c>
      <c r="D21" s="275" t="s">
        <v>24</v>
      </c>
      <c r="E21" s="611" t="s">
        <v>397</v>
      </c>
      <c r="F21" s="612">
        <v>573400</v>
      </c>
      <c r="G21" s="366"/>
      <c r="H21" s="366"/>
      <c r="I21" s="548" t="s">
        <v>582</v>
      </c>
      <c r="J21" s="546"/>
      <c r="K21" s="547"/>
      <c r="L21" s="547"/>
      <c r="M21" s="548" t="s">
        <v>583</v>
      </c>
      <c r="N21" s="548"/>
      <c r="O21" s="464">
        <v>1</v>
      </c>
      <c r="P21" s="453"/>
      <c r="Q21" s="453"/>
      <c r="R21" s="453"/>
      <c r="S21" s="453"/>
      <c r="T21" s="453"/>
    </row>
    <row r="22" spans="1:20" s="19" customFormat="1" ht="65.25" x14ac:dyDescent="0.2">
      <c r="A22" s="275">
        <v>12</v>
      </c>
      <c r="B22" s="275"/>
      <c r="C22" s="517" t="s">
        <v>293</v>
      </c>
      <c r="D22" s="275" t="s">
        <v>24</v>
      </c>
      <c r="E22" s="611" t="s">
        <v>398</v>
      </c>
      <c r="F22" s="612">
        <v>48000</v>
      </c>
      <c r="G22" s="366"/>
      <c r="H22" s="366"/>
      <c r="I22" s="548" t="s">
        <v>576</v>
      </c>
      <c r="J22" s="546"/>
      <c r="K22" s="547"/>
      <c r="L22" s="547"/>
      <c r="M22" s="548" t="s">
        <v>584</v>
      </c>
      <c r="N22" s="548"/>
      <c r="O22" s="464">
        <v>1</v>
      </c>
      <c r="P22" s="453"/>
      <c r="Q22" s="453"/>
      <c r="R22" s="453"/>
      <c r="S22" s="453"/>
      <c r="T22" s="453"/>
    </row>
    <row r="23" spans="1:20" s="19" customFormat="1" ht="105" x14ac:dyDescent="0.2">
      <c r="A23" s="275">
        <v>13</v>
      </c>
      <c r="B23" s="275" t="s">
        <v>24</v>
      </c>
      <c r="C23" s="517" t="s">
        <v>432</v>
      </c>
      <c r="D23" s="275" t="s">
        <v>24</v>
      </c>
      <c r="E23" s="518" t="s">
        <v>544</v>
      </c>
      <c r="F23" s="612">
        <v>38500</v>
      </c>
      <c r="G23" s="366"/>
      <c r="H23" s="366"/>
      <c r="I23" s="548"/>
      <c r="J23" s="546"/>
      <c r="K23" s="547"/>
      <c r="L23" s="547"/>
      <c r="M23" s="548"/>
      <c r="N23" s="548"/>
      <c r="O23" s="464"/>
      <c r="P23" s="453"/>
      <c r="Q23" s="453"/>
      <c r="R23" s="453"/>
      <c r="S23" s="453"/>
      <c r="T23" s="453"/>
    </row>
    <row r="24" spans="1:20" s="19" customFormat="1" ht="105" x14ac:dyDescent="0.2">
      <c r="A24" s="275">
        <v>14</v>
      </c>
      <c r="B24" s="275" t="s">
        <v>24</v>
      </c>
      <c r="C24" s="517" t="s">
        <v>432</v>
      </c>
      <c r="D24" s="275" t="s">
        <v>24</v>
      </c>
      <c r="E24" s="518" t="s">
        <v>545</v>
      </c>
      <c r="F24" s="612">
        <v>142800</v>
      </c>
      <c r="G24" s="366"/>
      <c r="H24" s="366"/>
      <c r="I24" s="548"/>
      <c r="J24" s="546"/>
      <c r="K24" s="547"/>
      <c r="L24" s="547"/>
      <c r="M24" s="548"/>
      <c r="N24" s="548"/>
      <c r="O24" s="464"/>
      <c r="P24" s="453"/>
      <c r="Q24" s="453"/>
      <c r="R24" s="453"/>
      <c r="S24" s="453"/>
      <c r="T24" s="453"/>
    </row>
    <row r="25" spans="1:20" s="19" customFormat="1" ht="105" x14ac:dyDescent="0.2">
      <c r="A25" s="275">
        <v>15</v>
      </c>
      <c r="B25" s="275" t="s">
        <v>24</v>
      </c>
      <c r="C25" s="517" t="s">
        <v>432</v>
      </c>
      <c r="D25" s="275" t="s">
        <v>24</v>
      </c>
      <c r="E25" s="518" t="s">
        <v>546</v>
      </c>
      <c r="F25" s="612">
        <v>161000</v>
      </c>
      <c r="G25" s="366"/>
      <c r="H25" s="366"/>
      <c r="I25" s="548"/>
      <c r="J25" s="546"/>
      <c r="K25" s="547"/>
      <c r="L25" s="547"/>
      <c r="M25" s="548"/>
      <c r="N25" s="548"/>
      <c r="O25" s="464"/>
      <c r="P25" s="453"/>
      <c r="Q25" s="453"/>
      <c r="R25" s="453"/>
      <c r="S25" s="453"/>
      <c r="T25" s="453"/>
    </row>
    <row r="26" spans="1:20" s="9" customFormat="1" ht="19.5" customHeight="1" x14ac:dyDescent="0.2">
      <c r="A26" s="6"/>
      <c r="B26" s="13"/>
      <c r="C26" s="13"/>
      <c r="D26" s="13"/>
      <c r="E26" s="7"/>
      <c r="F26" s="339"/>
      <c r="G26" s="11"/>
      <c r="H26" s="11"/>
      <c r="I26" s="11"/>
      <c r="J26" s="11"/>
      <c r="K26" s="10"/>
      <c r="L26" s="10"/>
      <c r="M26" s="11"/>
      <c r="N26" s="11"/>
      <c r="O26" s="445"/>
      <c r="P26" s="437"/>
      <c r="Q26" s="437"/>
      <c r="R26" s="437"/>
      <c r="S26" s="437"/>
      <c r="T26" s="437"/>
    </row>
    <row r="27" spans="1:20" s="14" customFormat="1" x14ac:dyDescent="0.5">
      <c r="A27" s="241">
        <f>+A25</f>
        <v>15</v>
      </c>
      <c r="B27" s="241"/>
      <c r="C27" s="241"/>
      <c r="D27" s="241"/>
      <c r="E27" s="242" t="s">
        <v>47</v>
      </c>
      <c r="F27" s="329">
        <f>SUM(F11:F26)</f>
        <v>8495200</v>
      </c>
      <c r="G27" s="329">
        <f>SUM(G11:G26)</f>
        <v>0</v>
      </c>
      <c r="H27" s="243" t="e">
        <f>SUM(#REF!)</f>
        <v>#REF!</v>
      </c>
      <c r="I27" s="258"/>
      <c r="J27" s="258" t="e">
        <f>SUM(#REF!)</f>
        <v>#REF!</v>
      </c>
      <c r="K27" s="258" t="e">
        <f>SUM(#REF!)</f>
        <v>#REF!</v>
      </c>
      <c r="L27" s="258" t="e">
        <f>SUM(#REF!)</f>
        <v>#REF!</v>
      </c>
      <c r="M27" s="258"/>
      <c r="N27" s="258"/>
      <c r="O27" s="449"/>
      <c r="P27" s="450">
        <f>+F27+G27</f>
        <v>8495200</v>
      </c>
      <c r="Q27" s="451"/>
      <c r="R27" s="451"/>
      <c r="S27" s="452"/>
      <c r="T27" s="452"/>
    </row>
    <row r="28" spans="1:20" s="19" customFormat="1" x14ac:dyDescent="0.2">
      <c r="A28" s="17"/>
      <c r="B28" s="17"/>
      <c r="C28" s="17"/>
      <c r="D28" s="17"/>
      <c r="E28" s="30" t="s">
        <v>10</v>
      </c>
      <c r="F28" s="34"/>
      <c r="G28" s="34"/>
      <c r="H28" s="34"/>
      <c r="I28" s="34"/>
      <c r="J28" s="34"/>
      <c r="K28" s="18"/>
      <c r="L28" s="18"/>
      <c r="M28" s="34"/>
      <c r="N28" s="34"/>
      <c r="O28" s="445"/>
      <c r="P28" s="453"/>
      <c r="Q28" s="453"/>
      <c r="R28" s="453"/>
      <c r="S28" s="453"/>
      <c r="T28" s="453"/>
    </row>
    <row r="29" spans="1:20" s="19" customFormat="1" ht="75" x14ac:dyDescent="0.2">
      <c r="A29" s="486">
        <v>1</v>
      </c>
      <c r="B29" s="485"/>
      <c r="C29" s="529" t="s">
        <v>303</v>
      </c>
      <c r="D29" s="486" t="s">
        <v>24</v>
      </c>
      <c r="E29" s="601" t="s">
        <v>401</v>
      </c>
      <c r="F29" s="602">
        <v>9039600</v>
      </c>
      <c r="G29" s="484"/>
      <c r="H29" s="484"/>
      <c r="I29" s="554" t="s">
        <v>585</v>
      </c>
      <c r="J29" s="513"/>
      <c r="K29" s="514"/>
      <c r="L29" s="514"/>
      <c r="M29" s="613" t="s">
        <v>591</v>
      </c>
      <c r="N29" s="613"/>
      <c r="O29" s="464">
        <v>2</v>
      </c>
      <c r="P29" s="453"/>
      <c r="Q29" s="453"/>
      <c r="R29" s="453"/>
      <c r="S29" s="453"/>
      <c r="T29" s="453"/>
    </row>
    <row r="30" spans="1:20" s="19" customFormat="1" ht="171.75" customHeight="1" x14ac:dyDescent="0.2">
      <c r="A30" s="486">
        <v>2</v>
      </c>
      <c r="B30" s="485"/>
      <c r="C30" s="529" t="s">
        <v>303</v>
      </c>
      <c r="D30" s="486" t="s">
        <v>24</v>
      </c>
      <c r="E30" s="601" t="s">
        <v>402</v>
      </c>
      <c r="F30" s="602">
        <v>24407100</v>
      </c>
      <c r="G30" s="484"/>
      <c r="H30" s="484"/>
      <c r="I30" s="554" t="s">
        <v>586</v>
      </c>
      <c r="J30" s="513"/>
      <c r="K30" s="514"/>
      <c r="L30" s="514"/>
      <c r="M30" s="613" t="s">
        <v>590</v>
      </c>
      <c r="N30" s="613"/>
      <c r="O30" s="464">
        <v>2</v>
      </c>
      <c r="P30" s="453"/>
      <c r="Q30" s="453"/>
      <c r="R30" s="453"/>
      <c r="S30" s="453"/>
      <c r="T30" s="453"/>
    </row>
    <row r="31" spans="1:20" s="302" customFormat="1" ht="113.25" customHeight="1" x14ac:dyDescent="0.2">
      <c r="A31" s="486">
        <v>3</v>
      </c>
      <c r="B31" s="486"/>
      <c r="C31" s="529" t="s">
        <v>303</v>
      </c>
      <c r="D31" s="486" t="s">
        <v>24</v>
      </c>
      <c r="E31" s="601" t="s">
        <v>399</v>
      </c>
      <c r="F31" s="602">
        <v>6291200</v>
      </c>
      <c r="G31" s="492"/>
      <c r="H31" s="492"/>
      <c r="I31" s="554" t="s">
        <v>587</v>
      </c>
      <c r="J31" s="513"/>
      <c r="K31" s="514"/>
      <c r="L31" s="514"/>
      <c r="M31" s="613" t="s">
        <v>592</v>
      </c>
      <c r="N31" s="613"/>
      <c r="O31" s="469">
        <v>2</v>
      </c>
      <c r="P31" s="454"/>
      <c r="Q31" s="454"/>
      <c r="R31" s="454"/>
      <c r="S31" s="454"/>
      <c r="T31" s="454"/>
    </row>
    <row r="32" spans="1:20" s="302" customFormat="1" ht="75" x14ac:dyDescent="0.2">
      <c r="A32" s="486">
        <v>4</v>
      </c>
      <c r="B32" s="486"/>
      <c r="C32" s="529" t="s">
        <v>303</v>
      </c>
      <c r="D32" s="486" t="s">
        <v>24</v>
      </c>
      <c r="E32" s="601" t="s">
        <v>400</v>
      </c>
      <c r="F32" s="602">
        <v>18283800</v>
      </c>
      <c r="G32" s="492"/>
      <c r="H32" s="492"/>
      <c r="I32" s="581" t="s">
        <v>588</v>
      </c>
      <c r="J32" s="513"/>
      <c r="K32" s="514"/>
      <c r="L32" s="514"/>
      <c r="M32" s="581" t="s">
        <v>589</v>
      </c>
      <c r="N32" s="581"/>
      <c r="O32" s="469">
        <v>2</v>
      </c>
      <c r="P32" s="454"/>
      <c r="Q32" s="454"/>
      <c r="R32" s="454"/>
      <c r="S32" s="454"/>
      <c r="T32" s="454"/>
    </row>
    <row r="33" spans="1:47" s="302" customFormat="1" ht="105" x14ac:dyDescent="0.2">
      <c r="A33" s="275">
        <v>5</v>
      </c>
      <c r="B33" s="275" t="s">
        <v>24</v>
      </c>
      <c r="C33" s="517" t="s">
        <v>432</v>
      </c>
      <c r="D33" s="275" t="s">
        <v>24</v>
      </c>
      <c r="E33" s="518" t="s">
        <v>547</v>
      </c>
      <c r="F33" s="605">
        <v>350000</v>
      </c>
      <c r="G33" s="366"/>
      <c r="H33" s="366"/>
      <c r="I33" s="551"/>
      <c r="J33" s="513"/>
      <c r="K33" s="514"/>
      <c r="L33" s="514"/>
      <c r="M33" s="583"/>
      <c r="N33" s="583"/>
      <c r="O33" s="469"/>
      <c r="P33" s="454"/>
      <c r="Q33" s="454"/>
      <c r="R33" s="454"/>
      <c r="S33" s="454"/>
      <c r="T33" s="454"/>
    </row>
    <row r="34" spans="1:47" s="302" customFormat="1" ht="24.75" customHeight="1" x14ac:dyDescent="0.2">
      <c r="A34" s="271"/>
      <c r="B34" s="271"/>
      <c r="C34" s="271"/>
      <c r="D34" s="271"/>
      <c r="E34" s="324"/>
      <c r="F34" s="337"/>
      <c r="G34" s="274"/>
      <c r="H34" s="274"/>
      <c r="I34" s="270"/>
      <c r="J34" s="298"/>
      <c r="K34" s="301"/>
      <c r="L34" s="301"/>
      <c r="M34" s="270"/>
      <c r="N34" s="270"/>
      <c r="O34" s="447"/>
      <c r="P34" s="454"/>
      <c r="Q34" s="454"/>
      <c r="R34" s="454"/>
      <c r="S34" s="454"/>
      <c r="T34" s="454"/>
    </row>
    <row r="35" spans="1:47" s="19" customFormat="1" ht="22.5" thickBot="1" x14ac:dyDescent="0.55000000000000004">
      <c r="A35" s="244">
        <f>+A33</f>
        <v>5</v>
      </c>
      <c r="B35" s="244"/>
      <c r="C35" s="244"/>
      <c r="D35" s="244"/>
      <c r="E35" s="245" t="s">
        <v>33</v>
      </c>
      <c r="F35" s="330">
        <f>SUM(F29:F34)</f>
        <v>58371700</v>
      </c>
      <c r="G35" s="246">
        <f>SUM(G29:G34)</f>
        <v>0</v>
      </c>
      <c r="H35" s="246">
        <f>SUM(H29:H34)</f>
        <v>0</v>
      </c>
      <c r="I35" s="259"/>
      <c r="J35" s="259">
        <f>SUM(J29:J34)</f>
        <v>0</v>
      </c>
      <c r="K35" s="259">
        <f>SUM(K29:K34)</f>
        <v>0</v>
      </c>
      <c r="L35" s="259">
        <f>SUM(L29:L34)</f>
        <v>0</v>
      </c>
      <c r="M35" s="259"/>
      <c r="N35" s="259"/>
      <c r="O35" s="443"/>
      <c r="P35" s="455">
        <f>+F35+G35</f>
        <v>58371700</v>
      </c>
      <c r="Q35" s="451"/>
      <c r="R35" s="451"/>
      <c r="S35" s="453"/>
      <c r="T35" s="453"/>
    </row>
    <row r="36" spans="1:47" s="28" customFormat="1" ht="22.5" thickBot="1" x14ac:dyDescent="0.55000000000000004">
      <c r="A36" s="247">
        <f>A27+A35</f>
        <v>20</v>
      </c>
      <c r="B36" s="248"/>
      <c r="C36" s="248"/>
      <c r="D36" s="248"/>
      <c r="E36" s="248" t="s">
        <v>182</v>
      </c>
      <c r="F36" s="331">
        <f>F27+F35</f>
        <v>66866900</v>
      </c>
      <c r="G36" s="310">
        <f>+G27+G35</f>
        <v>0</v>
      </c>
      <c r="H36" s="310" t="e">
        <f>+H27+H35</f>
        <v>#REF!</v>
      </c>
      <c r="I36" s="249"/>
      <c r="J36" s="249" t="e">
        <f>J27+J35</f>
        <v>#REF!</v>
      </c>
      <c r="K36" s="249" t="e">
        <f>K27+K35</f>
        <v>#REF!</v>
      </c>
      <c r="L36" s="249" t="e">
        <f>L27+L35</f>
        <v>#REF!</v>
      </c>
      <c r="M36" s="249"/>
      <c r="N36" s="249"/>
      <c r="O36" s="456"/>
      <c r="P36" s="450">
        <f>+P27+P35</f>
        <v>66866900</v>
      </c>
      <c r="Q36" s="457"/>
      <c r="R36" s="457"/>
      <c r="S36" s="434"/>
      <c r="T36" s="434"/>
      <c r="U36" s="2"/>
      <c r="V36" s="2"/>
      <c r="W36" s="2"/>
      <c r="X36" s="2"/>
      <c r="Y36" s="2"/>
      <c r="Z36" s="2"/>
      <c r="AA36" s="2"/>
      <c r="AB36" s="2"/>
    </row>
    <row r="37" spans="1:47" s="9" customFormat="1" x14ac:dyDescent="0.2">
      <c r="A37" s="15"/>
      <c r="B37" s="15"/>
      <c r="C37" s="15"/>
      <c r="D37" s="15"/>
      <c r="E37" s="31"/>
      <c r="F37" s="104"/>
      <c r="G37" s="20"/>
      <c r="H37" s="20"/>
      <c r="I37" s="20"/>
      <c r="J37" s="20"/>
      <c r="K37" s="104"/>
      <c r="L37" s="104"/>
      <c r="M37" s="20"/>
      <c r="N37" s="20"/>
      <c r="O37" s="445"/>
      <c r="P37" s="437"/>
      <c r="Q37" s="437"/>
      <c r="R37" s="437"/>
      <c r="S37" s="437"/>
      <c r="T37" s="437"/>
    </row>
    <row r="38" spans="1:47" s="9" customFormat="1" x14ac:dyDescent="0.5">
      <c r="A38" s="15"/>
      <c r="B38" s="15"/>
      <c r="C38" s="15"/>
      <c r="D38" s="15"/>
      <c r="E38" s="31"/>
      <c r="F38" s="261"/>
      <c r="G38" s="20"/>
      <c r="H38" s="20"/>
      <c r="I38" s="20"/>
      <c r="J38" s="20"/>
      <c r="K38" s="104"/>
      <c r="L38" s="104"/>
      <c r="M38" s="20"/>
      <c r="N38" s="20"/>
      <c r="O38" s="445"/>
      <c r="P38" s="437"/>
      <c r="Q38" s="437"/>
      <c r="R38" s="437"/>
      <c r="S38" s="437"/>
      <c r="T38" s="437"/>
    </row>
    <row r="40" spans="1:47" s="23" customFormat="1" x14ac:dyDescent="0.5">
      <c r="A40" s="22"/>
      <c r="B40" s="22"/>
      <c r="C40" s="22"/>
      <c r="D40" s="22"/>
      <c r="E40" s="81"/>
      <c r="F40" s="277"/>
      <c r="G40" s="125"/>
      <c r="H40" s="125"/>
      <c r="I40" s="125"/>
      <c r="J40" s="125"/>
      <c r="K40" s="190"/>
      <c r="L40" s="190"/>
      <c r="M40" s="125"/>
      <c r="N40" s="125"/>
      <c r="O40" s="441"/>
      <c r="P40" s="434"/>
      <c r="Q40" s="434"/>
      <c r="R40" s="434"/>
      <c r="S40" s="434"/>
      <c r="T40" s="43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</row>
    <row r="41" spans="1:47" s="23" customFormat="1" x14ac:dyDescent="0.5">
      <c r="A41" s="22"/>
      <c r="B41" s="22"/>
      <c r="C41" s="22"/>
      <c r="D41" s="22"/>
      <c r="F41" s="263"/>
      <c r="G41" s="107"/>
      <c r="H41" s="107"/>
      <c r="I41" s="107"/>
      <c r="J41" s="107"/>
      <c r="K41" s="190"/>
      <c r="L41" s="190"/>
      <c r="M41" s="107"/>
      <c r="N41" s="107"/>
      <c r="O41" s="441"/>
      <c r="P41" s="434"/>
      <c r="Q41" s="434"/>
      <c r="R41" s="434"/>
      <c r="S41" s="434"/>
      <c r="T41" s="43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</row>
    <row r="42" spans="1:47" s="23" customFormat="1" x14ac:dyDescent="0.5">
      <c r="A42" s="22"/>
      <c r="B42" s="22"/>
      <c r="C42" s="22"/>
      <c r="D42" s="22"/>
      <c r="F42" s="263"/>
      <c r="G42" s="107"/>
      <c r="H42" s="107"/>
      <c r="I42" s="107"/>
      <c r="J42" s="107"/>
      <c r="K42" s="190"/>
      <c r="L42" s="190"/>
      <c r="M42" s="107"/>
      <c r="N42" s="107"/>
      <c r="O42" s="441"/>
      <c r="P42" s="434"/>
      <c r="Q42" s="434"/>
      <c r="R42" s="434"/>
      <c r="S42" s="434"/>
      <c r="T42" s="43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</row>
    <row r="43" spans="1:47" s="23" customFormat="1" x14ac:dyDescent="0.5">
      <c r="A43" s="22"/>
      <c r="B43" s="22"/>
      <c r="C43" s="22"/>
      <c r="D43" s="22"/>
      <c r="F43" s="263"/>
      <c r="G43" s="107"/>
      <c r="H43" s="107"/>
      <c r="I43" s="107"/>
      <c r="J43" s="107"/>
      <c r="K43" s="190"/>
      <c r="L43" s="190"/>
      <c r="M43" s="107"/>
      <c r="N43" s="107"/>
      <c r="O43" s="441"/>
      <c r="P43" s="434"/>
      <c r="Q43" s="434"/>
      <c r="R43" s="434"/>
      <c r="S43" s="434"/>
      <c r="T43" s="43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</row>
  </sheetData>
  <autoFilter ref="O1:O43"/>
  <mergeCells count="21">
    <mergeCell ref="R5:R8"/>
    <mergeCell ref="Q5:Q8"/>
    <mergeCell ref="L5:L8"/>
    <mergeCell ref="G6:G8"/>
    <mergeCell ref="F5:H5"/>
    <mergeCell ref="H6:H8"/>
    <mergeCell ref="M5:M8"/>
    <mergeCell ref="N5:N8"/>
    <mergeCell ref="K5:K8"/>
    <mergeCell ref="F4:G4"/>
    <mergeCell ref="E5:E8"/>
    <mergeCell ref="J5:J8"/>
    <mergeCell ref="A1:N1"/>
    <mergeCell ref="A2:N2"/>
    <mergeCell ref="A3:N3"/>
    <mergeCell ref="A5:A8"/>
    <mergeCell ref="B5:B8"/>
    <mergeCell ref="D5:D8"/>
    <mergeCell ref="F6:F8"/>
    <mergeCell ref="I5:I8"/>
    <mergeCell ref="C5:C8"/>
  </mergeCells>
  <phoneticPr fontId="2" type="noConversion"/>
  <conditionalFormatting sqref="F11:F25">
    <cfRule type="cellIs" dxfId="85" priority="3" stopIfTrue="1" operator="between">
      <formula>2000001</formula>
      <formula>500000000</formula>
    </cfRule>
  </conditionalFormatting>
  <conditionalFormatting sqref="F31:F33">
    <cfRule type="cellIs" dxfId="84" priority="2" stopIfTrue="1" operator="between">
      <formula>2000001</formula>
      <formula>500000000</formula>
    </cfRule>
  </conditionalFormatting>
  <conditionalFormatting sqref="F29:F30">
    <cfRule type="cellIs" dxfId="83" priority="1" stopIfTrue="1" operator="between">
      <formula>2000001</formula>
      <formula>500000000</formula>
    </cfRule>
  </conditionalFormatting>
  <pageMargins left="0.43307086614173229" right="0.47244094488188981" top="0.32" bottom="0.27" header="0.17" footer="0.16"/>
  <pageSetup paperSize="9" scale="90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32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2" style="1" customWidth="1"/>
    <col min="6" max="6" width="15" style="264" customWidth="1"/>
    <col min="7" max="7" width="12.42578125" style="106" customWidth="1"/>
    <col min="8" max="8" width="12.42578125" style="106" hidden="1" customWidth="1"/>
    <col min="9" max="9" width="31.8554687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85546875" style="106" customWidth="1"/>
    <col min="15" max="15" width="4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0"/>
      <c r="P2" s="435" t="s">
        <v>522</v>
      </c>
      <c r="Q2" s="434">
        <v>6</v>
      </c>
      <c r="R2" s="436" t="e">
        <f>SUM(#REF!)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0"/>
      <c r="P3" s="437" t="s">
        <v>523</v>
      </c>
      <c r="Q3" s="438">
        <v>1</v>
      </c>
      <c r="R3" s="439" t="e">
        <f>+#REF!</f>
        <v>#REF!</v>
      </c>
      <c r="S3" s="440">
        <v>19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ht="14.25" customHeight="1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19.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18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18.75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3.5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ht="18.75" customHeight="1" x14ac:dyDescent="0.5">
      <c r="A9" s="12"/>
      <c r="B9" s="12"/>
      <c r="C9" s="12"/>
      <c r="D9" s="12"/>
      <c r="E9" s="32" t="s">
        <v>1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ht="19.5" customHeigh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152.25" x14ac:dyDescent="0.2">
      <c r="A11" s="486">
        <v>1</v>
      </c>
      <c r="B11" s="486"/>
      <c r="C11" s="552" t="s">
        <v>303</v>
      </c>
      <c r="D11" s="486" t="s">
        <v>1</v>
      </c>
      <c r="E11" s="530" t="s">
        <v>403</v>
      </c>
      <c r="F11" s="488">
        <v>5250000</v>
      </c>
      <c r="G11" s="484"/>
      <c r="H11" s="484"/>
      <c r="I11" s="614" t="s">
        <v>593</v>
      </c>
      <c r="J11" s="546"/>
      <c r="K11" s="547"/>
      <c r="L11" s="547"/>
      <c r="M11" s="614" t="s">
        <v>594</v>
      </c>
      <c r="N11" s="614"/>
      <c r="O11" s="464">
        <v>2</v>
      </c>
      <c r="P11" s="453"/>
      <c r="Q11" s="453"/>
      <c r="R11" s="453"/>
      <c r="S11" s="453"/>
      <c r="T11" s="453"/>
    </row>
    <row r="12" spans="1:39" s="19" customFormat="1" ht="45" x14ac:dyDescent="0.2">
      <c r="A12" s="275">
        <v>2</v>
      </c>
      <c r="B12" s="275"/>
      <c r="C12" s="517" t="s">
        <v>302</v>
      </c>
      <c r="D12" s="275" t="s">
        <v>1</v>
      </c>
      <c r="E12" s="518" t="s">
        <v>404</v>
      </c>
      <c r="F12" s="298">
        <v>310000</v>
      </c>
      <c r="G12" s="34"/>
      <c r="H12" s="34"/>
      <c r="I12" s="615" t="s">
        <v>595</v>
      </c>
      <c r="J12" s="546"/>
      <c r="K12" s="547"/>
      <c r="L12" s="547"/>
      <c r="M12" s="615" t="s">
        <v>596</v>
      </c>
      <c r="N12" s="615"/>
      <c r="O12" s="464">
        <v>1</v>
      </c>
      <c r="P12" s="453"/>
      <c r="Q12" s="453"/>
      <c r="R12" s="453"/>
      <c r="S12" s="453"/>
      <c r="T12" s="453"/>
    </row>
    <row r="13" spans="1:39" s="19" customFormat="1" ht="65.25" x14ac:dyDescent="0.2">
      <c r="A13" s="275">
        <v>3</v>
      </c>
      <c r="B13" s="275"/>
      <c r="C13" s="517" t="s">
        <v>302</v>
      </c>
      <c r="D13" s="275" t="s">
        <v>1</v>
      </c>
      <c r="E13" s="518" t="s">
        <v>405</v>
      </c>
      <c r="F13" s="298">
        <v>140000</v>
      </c>
      <c r="G13" s="34"/>
      <c r="H13" s="34"/>
      <c r="I13" s="615" t="s">
        <v>595</v>
      </c>
      <c r="J13" s="546"/>
      <c r="K13" s="547"/>
      <c r="L13" s="547"/>
      <c r="M13" s="615" t="s">
        <v>597</v>
      </c>
      <c r="N13" s="615"/>
      <c r="O13" s="464">
        <v>1</v>
      </c>
      <c r="P13" s="453"/>
      <c r="Q13" s="453"/>
      <c r="R13" s="453"/>
      <c r="S13" s="453"/>
      <c r="T13" s="453"/>
    </row>
    <row r="14" spans="1:39" s="19" customFormat="1" ht="45" x14ac:dyDescent="0.2">
      <c r="A14" s="275">
        <v>4</v>
      </c>
      <c r="B14" s="275"/>
      <c r="C14" s="517" t="s">
        <v>302</v>
      </c>
      <c r="D14" s="275" t="s">
        <v>1</v>
      </c>
      <c r="E14" s="518" t="s">
        <v>406</v>
      </c>
      <c r="F14" s="298">
        <v>280000</v>
      </c>
      <c r="G14" s="616"/>
      <c r="H14" s="34"/>
      <c r="I14" s="615" t="s">
        <v>595</v>
      </c>
      <c r="J14" s="546"/>
      <c r="K14" s="547"/>
      <c r="L14" s="547"/>
      <c r="M14" s="615" t="s">
        <v>598</v>
      </c>
      <c r="N14" s="615"/>
      <c r="O14" s="464">
        <v>1</v>
      </c>
      <c r="P14" s="453"/>
      <c r="Q14" s="453"/>
      <c r="R14" s="453"/>
      <c r="S14" s="453"/>
      <c r="T14" s="453"/>
    </row>
    <row r="15" spans="1:39" s="19" customFormat="1" ht="105" x14ac:dyDescent="0.2">
      <c r="A15" s="275">
        <v>5</v>
      </c>
      <c r="B15" s="275" t="s">
        <v>1</v>
      </c>
      <c r="C15" s="517" t="s">
        <v>432</v>
      </c>
      <c r="D15" s="275" t="s">
        <v>1</v>
      </c>
      <c r="E15" s="518" t="s">
        <v>545</v>
      </c>
      <c r="F15" s="298">
        <v>81600</v>
      </c>
      <c r="G15" s="616"/>
      <c r="H15" s="34"/>
      <c r="I15" s="615"/>
      <c r="J15" s="546"/>
      <c r="K15" s="547"/>
      <c r="L15" s="547"/>
      <c r="M15" s="615"/>
      <c r="N15" s="615"/>
      <c r="O15" s="464"/>
      <c r="P15" s="453"/>
      <c r="Q15" s="453"/>
      <c r="R15" s="453"/>
      <c r="S15" s="453"/>
      <c r="T15" s="453"/>
    </row>
    <row r="16" spans="1:39" s="19" customFormat="1" ht="105" x14ac:dyDescent="0.2">
      <c r="A16" s="275">
        <v>6</v>
      </c>
      <c r="B16" s="275" t="s">
        <v>1</v>
      </c>
      <c r="C16" s="517" t="s">
        <v>432</v>
      </c>
      <c r="D16" s="275" t="s">
        <v>1</v>
      </c>
      <c r="E16" s="518" t="s">
        <v>546</v>
      </c>
      <c r="F16" s="298">
        <v>92000</v>
      </c>
      <c r="G16" s="616"/>
      <c r="H16" s="34"/>
      <c r="I16" s="615"/>
      <c r="J16" s="546"/>
      <c r="K16" s="547"/>
      <c r="L16" s="547"/>
      <c r="M16" s="615"/>
      <c r="N16" s="615"/>
      <c r="O16" s="464"/>
      <c r="P16" s="453"/>
      <c r="Q16" s="453"/>
      <c r="R16" s="453"/>
      <c r="S16" s="453"/>
      <c r="T16" s="453"/>
    </row>
    <row r="17" spans="1:47" s="9" customFormat="1" ht="24" customHeight="1" x14ac:dyDescent="0.2">
      <c r="A17" s="6"/>
      <c r="B17" s="13"/>
      <c r="C17" s="13"/>
      <c r="D17" s="13"/>
      <c r="E17" s="7"/>
      <c r="F17" s="257"/>
      <c r="G17" s="11"/>
      <c r="H17" s="11"/>
      <c r="I17" s="11"/>
      <c r="J17" s="11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47" s="14" customFormat="1" ht="18.75" customHeight="1" x14ac:dyDescent="0.5">
      <c r="A18" s="241">
        <f>+A16</f>
        <v>6</v>
      </c>
      <c r="B18" s="241"/>
      <c r="C18" s="241"/>
      <c r="D18" s="241"/>
      <c r="E18" s="242" t="s">
        <v>47</v>
      </c>
      <c r="F18" s="329">
        <f>SUM(F11:F17)</f>
        <v>6153600</v>
      </c>
      <c r="G18" s="258">
        <f>SUM(G17:G17)</f>
        <v>0</v>
      </c>
      <c r="H18" s="258">
        <f>SUM(H17:H17)</f>
        <v>0</v>
      </c>
      <c r="I18" s="258"/>
      <c r="J18" s="258">
        <f>SUM(J17:J17)</f>
        <v>0</v>
      </c>
      <c r="K18" s="258">
        <f>SUM(K17:K17)</f>
        <v>0</v>
      </c>
      <c r="L18" s="258">
        <f>SUM(L17:L17)</f>
        <v>0</v>
      </c>
      <c r="M18" s="258"/>
      <c r="N18" s="258"/>
      <c r="O18" s="463"/>
      <c r="P18" s="450">
        <f>+F18+G18</f>
        <v>6153600</v>
      </c>
      <c r="Q18" s="451"/>
      <c r="R18" s="451"/>
      <c r="S18" s="452"/>
      <c r="T18" s="452"/>
    </row>
    <row r="19" spans="1:47" s="19" customFormat="1" ht="19.5" customHeight="1" x14ac:dyDescent="0.2">
      <c r="A19" s="17"/>
      <c r="B19" s="17"/>
      <c r="C19" s="17"/>
      <c r="D19" s="17"/>
      <c r="E19" s="30" t="s">
        <v>10</v>
      </c>
      <c r="F19" s="34"/>
      <c r="G19" s="34"/>
      <c r="H19" s="34"/>
      <c r="I19" s="34"/>
      <c r="J19" s="34"/>
      <c r="K19" s="18"/>
      <c r="L19" s="18"/>
      <c r="M19" s="34"/>
      <c r="N19" s="34"/>
      <c r="O19" s="464"/>
      <c r="P19" s="453"/>
      <c r="Q19" s="453"/>
      <c r="R19" s="453"/>
      <c r="S19" s="453"/>
      <c r="T19" s="453"/>
    </row>
    <row r="20" spans="1:47" s="19" customFormat="1" ht="291" customHeight="1" x14ac:dyDescent="0.2">
      <c r="A20" s="486">
        <v>1</v>
      </c>
      <c r="B20" s="485"/>
      <c r="C20" s="529" t="s">
        <v>303</v>
      </c>
      <c r="D20" s="486" t="s">
        <v>1</v>
      </c>
      <c r="E20" s="601" t="s">
        <v>407</v>
      </c>
      <c r="F20" s="602">
        <v>21331100</v>
      </c>
      <c r="G20" s="484"/>
      <c r="H20" s="484"/>
      <c r="I20" s="617" t="s">
        <v>599</v>
      </c>
      <c r="J20" s="546"/>
      <c r="K20" s="547"/>
      <c r="L20" s="547"/>
      <c r="M20" s="617" t="s">
        <v>600</v>
      </c>
      <c r="N20" s="617"/>
      <c r="O20" s="464">
        <v>2</v>
      </c>
      <c r="P20" s="453"/>
      <c r="Q20" s="453"/>
      <c r="R20" s="453"/>
      <c r="S20" s="453"/>
      <c r="T20" s="453"/>
    </row>
    <row r="21" spans="1:47" s="19" customFormat="1" ht="174" x14ac:dyDescent="0.2">
      <c r="A21" s="486">
        <v>2</v>
      </c>
      <c r="B21" s="486"/>
      <c r="C21" s="529" t="s">
        <v>303</v>
      </c>
      <c r="D21" s="486" t="s">
        <v>1</v>
      </c>
      <c r="E21" s="601" t="s">
        <v>408</v>
      </c>
      <c r="F21" s="602">
        <v>4180000</v>
      </c>
      <c r="G21" s="492"/>
      <c r="H21" s="492"/>
      <c r="I21" s="618" t="s">
        <v>601</v>
      </c>
      <c r="J21" s="546"/>
      <c r="K21" s="547"/>
      <c r="L21" s="547"/>
      <c r="M21" s="618" t="s">
        <v>602</v>
      </c>
      <c r="N21" s="618"/>
      <c r="O21" s="464">
        <v>2</v>
      </c>
      <c r="P21" s="453"/>
      <c r="Q21" s="453"/>
      <c r="R21" s="453"/>
      <c r="S21" s="453"/>
      <c r="T21" s="453"/>
    </row>
    <row r="22" spans="1:47" s="19" customFormat="1" ht="105" x14ac:dyDescent="0.2">
      <c r="A22" s="275">
        <v>3</v>
      </c>
      <c r="B22" s="275" t="s">
        <v>1</v>
      </c>
      <c r="C22" s="517" t="s">
        <v>432</v>
      </c>
      <c r="D22" s="275" t="s">
        <v>1</v>
      </c>
      <c r="E22" s="518" t="s">
        <v>547</v>
      </c>
      <c r="F22" s="605">
        <v>200000</v>
      </c>
      <c r="G22" s="366"/>
      <c r="H22" s="366"/>
      <c r="I22" s="619"/>
      <c r="J22" s="546"/>
      <c r="K22" s="547"/>
      <c r="L22" s="547"/>
      <c r="M22" s="619"/>
      <c r="N22" s="619"/>
      <c r="O22" s="464"/>
      <c r="P22" s="453"/>
      <c r="Q22" s="453"/>
      <c r="R22" s="453"/>
      <c r="S22" s="453"/>
      <c r="T22" s="453"/>
    </row>
    <row r="23" spans="1:47" s="9" customFormat="1" ht="23.25" customHeight="1" x14ac:dyDescent="0.2">
      <c r="A23" s="6"/>
      <c r="B23" s="6"/>
      <c r="C23" s="6"/>
      <c r="D23" s="6"/>
      <c r="E23" s="7"/>
      <c r="F23" s="8"/>
      <c r="G23" s="29"/>
      <c r="H23" s="29"/>
      <c r="I23" s="11"/>
      <c r="J23" s="11"/>
      <c r="K23" s="10"/>
      <c r="L23" s="10"/>
      <c r="M23" s="11"/>
      <c r="N23" s="11"/>
      <c r="O23" s="445"/>
      <c r="P23" s="437"/>
      <c r="Q23" s="437"/>
      <c r="R23" s="437"/>
      <c r="S23" s="437"/>
      <c r="T23" s="437"/>
    </row>
    <row r="24" spans="1:47" s="19" customFormat="1" ht="22.5" thickBot="1" x14ac:dyDescent="0.55000000000000004">
      <c r="A24" s="244">
        <f>+A22</f>
        <v>3</v>
      </c>
      <c r="B24" s="244"/>
      <c r="C24" s="244"/>
      <c r="D24" s="244"/>
      <c r="E24" s="245" t="s">
        <v>33</v>
      </c>
      <c r="F24" s="330">
        <f>SUM(F20:F23)</f>
        <v>25711100</v>
      </c>
      <c r="G24" s="246">
        <f>SUM(G19:G23)</f>
        <v>0</v>
      </c>
      <c r="H24" s="246">
        <f>SUM(H19:H23)</f>
        <v>0</v>
      </c>
      <c r="I24" s="259"/>
      <c r="J24" s="259">
        <f>SUM(J23:J23)</f>
        <v>0</v>
      </c>
      <c r="K24" s="259">
        <f>SUM(K23:K23)</f>
        <v>0</v>
      </c>
      <c r="L24" s="259">
        <f>SUM(L23:L23)</f>
        <v>0</v>
      </c>
      <c r="M24" s="259"/>
      <c r="N24" s="259"/>
      <c r="O24" s="462"/>
      <c r="P24" s="455">
        <f>+F24+G24</f>
        <v>25711100</v>
      </c>
      <c r="Q24" s="451"/>
      <c r="R24" s="451"/>
      <c r="S24" s="453"/>
      <c r="T24" s="453"/>
    </row>
    <row r="25" spans="1:47" s="28" customFormat="1" ht="22.5" thickBot="1" x14ac:dyDescent="0.55000000000000004">
      <c r="A25" s="247">
        <f>+A18+A24</f>
        <v>9</v>
      </c>
      <c r="B25" s="248"/>
      <c r="C25" s="248"/>
      <c r="D25" s="248"/>
      <c r="E25" s="248" t="s">
        <v>183</v>
      </c>
      <c r="F25" s="331">
        <f>F18+F24</f>
        <v>31864700</v>
      </c>
      <c r="G25" s="310">
        <f>+G18+G24</f>
        <v>0</v>
      </c>
      <c r="H25" s="310">
        <f>+H18+H24</f>
        <v>0</v>
      </c>
      <c r="I25" s="249"/>
      <c r="J25" s="249">
        <f>J18+J24</f>
        <v>0</v>
      </c>
      <c r="K25" s="249">
        <f>K18+K24</f>
        <v>0</v>
      </c>
      <c r="L25" s="249">
        <f>L18+L24</f>
        <v>0</v>
      </c>
      <c r="M25" s="249"/>
      <c r="N25" s="249"/>
      <c r="O25" s="465"/>
      <c r="P25" s="450">
        <f>+P18+P24</f>
        <v>31864700</v>
      </c>
      <c r="Q25" s="457"/>
      <c r="R25" s="457"/>
      <c r="S25" s="434"/>
      <c r="T25" s="434"/>
      <c r="U25" s="2"/>
      <c r="V25" s="2"/>
      <c r="W25" s="2"/>
      <c r="X25" s="2"/>
      <c r="Y25" s="2"/>
      <c r="Z25" s="2"/>
      <c r="AA25" s="2"/>
      <c r="AB25" s="2"/>
    </row>
    <row r="26" spans="1:47" s="9" customFormat="1" x14ac:dyDescent="0.2">
      <c r="A26" s="15"/>
      <c r="B26" s="15"/>
      <c r="C26" s="15"/>
      <c r="D26" s="15"/>
      <c r="E26" s="31"/>
      <c r="F26" s="104"/>
      <c r="G26" s="20"/>
      <c r="H26" s="20"/>
      <c r="I26" s="20"/>
      <c r="J26" s="20"/>
      <c r="K26" s="104"/>
      <c r="L26" s="104"/>
      <c r="M26" s="20"/>
      <c r="N26" s="20"/>
      <c r="O26" s="445"/>
      <c r="P26" s="437"/>
      <c r="Q26" s="437"/>
      <c r="R26" s="437"/>
      <c r="S26" s="437"/>
      <c r="T26" s="437"/>
    </row>
    <row r="27" spans="1:47" s="9" customFormat="1" x14ac:dyDescent="0.5">
      <c r="A27" s="15"/>
      <c r="B27" s="15"/>
      <c r="C27" s="15"/>
      <c r="D27" s="15"/>
      <c r="E27" s="31"/>
      <c r="F27" s="261"/>
      <c r="G27" s="20"/>
      <c r="H27" s="20"/>
      <c r="I27" s="20"/>
      <c r="J27" s="20"/>
      <c r="K27" s="104"/>
      <c r="L27" s="104"/>
      <c r="M27" s="20"/>
      <c r="N27" s="20"/>
      <c r="O27" s="445"/>
      <c r="P27" s="437"/>
      <c r="Q27" s="437"/>
      <c r="R27" s="437"/>
      <c r="S27" s="437"/>
      <c r="T27" s="437"/>
    </row>
    <row r="29" spans="1:47" s="23" customFormat="1" ht="22.5" thickBot="1" x14ac:dyDescent="0.55000000000000004">
      <c r="A29" s="22"/>
      <c r="B29" s="22"/>
      <c r="C29" s="22"/>
      <c r="D29" s="22"/>
      <c r="E29" s="81" t="s">
        <v>99</v>
      </c>
      <c r="F29" s="262"/>
      <c r="G29" s="238"/>
      <c r="H29" s="125"/>
      <c r="I29" s="125"/>
      <c r="J29" s="125"/>
      <c r="K29" s="190"/>
      <c r="L29" s="190"/>
      <c r="M29" s="125"/>
      <c r="N29" s="125"/>
      <c r="O29" s="441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  <row r="30" spans="1:47" s="23" customFormat="1" ht="22.5" thickTop="1" x14ac:dyDescent="0.5">
      <c r="A30" s="22"/>
      <c r="B30" s="22"/>
      <c r="C30" s="22"/>
      <c r="D30" s="22"/>
      <c r="E30" s="23" t="s">
        <v>25</v>
      </c>
      <c r="F30" s="263"/>
      <c r="G30" s="107"/>
      <c r="H30" s="107"/>
      <c r="I30" s="107"/>
      <c r="J30" s="107"/>
      <c r="K30" s="190"/>
      <c r="L30" s="190"/>
      <c r="M30" s="107"/>
      <c r="N30" s="107"/>
      <c r="O30" s="441"/>
      <c r="P30" s="434"/>
      <c r="Q30" s="434"/>
      <c r="R30" s="434"/>
      <c r="S30" s="434"/>
      <c r="T30" s="43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</row>
    <row r="31" spans="1:47" s="23" customFormat="1" x14ac:dyDescent="0.5">
      <c r="A31" s="22"/>
      <c r="B31" s="22"/>
      <c r="C31" s="22"/>
      <c r="D31" s="22"/>
      <c r="E31" s="23" t="s">
        <v>98</v>
      </c>
      <c r="F31" s="263"/>
      <c r="G31" s="107"/>
      <c r="H31" s="107"/>
      <c r="I31" s="107"/>
      <c r="J31" s="107"/>
      <c r="K31" s="190"/>
      <c r="L31" s="190"/>
      <c r="M31" s="107"/>
      <c r="N31" s="107"/>
      <c r="O31" s="441"/>
      <c r="P31" s="434"/>
      <c r="Q31" s="434"/>
      <c r="R31" s="434"/>
      <c r="S31" s="434"/>
      <c r="T31" s="43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</row>
    <row r="32" spans="1:47" s="23" customFormat="1" x14ac:dyDescent="0.5">
      <c r="A32" s="22"/>
      <c r="B32" s="22"/>
      <c r="C32" s="22"/>
      <c r="D32" s="22"/>
      <c r="E32" s="23" t="s">
        <v>18</v>
      </c>
      <c r="F32" s="263"/>
      <c r="G32" s="107"/>
      <c r="H32" s="107"/>
      <c r="I32" s="107"/>
      <c r="J32" s="107"/>
      <c r="K32" s="190"/>
      <c r="L32" s="190"/>
      <c r="M32" s="107"/>
      <c r="N32" s="107"/>
      <c r="O32" s="441"/>
      <c r="P32" s="434"/>
      <c r="Q32" s="434"/>
      <c r="R32" s="434"/>
      <c r="S32" s="434"/>
      <c r="T32" s="43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</row>
  </sheetData>
  <autoFilter ref="O1:O32"/>
  <mergeCells count="21">
    <mergeCell ref="E5:E8"/>
    <mergeCell ref="F5:H5"/>
    <mergeCell ref="H6:H8"/>
    <mergeCell ref="I5:I8"/>
    <mergeCell ref="J5:J8"/>
    <mergeCell ref="A1:N1"/>
    <mergeCell ref="A2:N2"/>
    <mergeCell ref="A3:N3"/>
    <mergeCell ref="R5:R8"/>
    <mergeCell ref="Q5:Q8"/>
    <mergeCell ref="A5:A8"/>
    <mergeCell ref="B5:B8"/>
    <mergeCell ref="D5:D8"/>
    <mergeCell ref="F6:F8"/>
    <mergeCell ref="K5:K8"/>
    <mergeCell ref="L5:L8"/>
    <mergeCell ref="N5:N8"/>
    <mergeCell ref="F4:G4"/>
    <mergeCell ref="G6:G8"/>
    <mergeCell ref="M5:M8"/>
    <mergeCell ref="C5:C8"/>
  </mergeCells>
  <phoneticPr fontId="2" type="noConversion"/>
  <conditionalFormatting sqref="F11:F16">
    <cfRule type="cellIs" dxfId="82" priority="3" stopIfTrue="1" operator="between">
      <formula>2000001</formula>
      <formula>500000000</formula>
    </cfRule>
  </conditionalFormatting>
  <conditionalFormatting sqref="F21:F22">
    <cfRule type="cellIs" dxfId="81" priority="2" stopIfTrue="1" operator="between">
      <formula>2000001</formula>
      <formula>500000000</formula>
    </cfRule>
  </conditionalFormatting>
  <conditionalFormatting sqref="F20">
    <cfRule type="cellIs" dxfId="80" priority="1" stopIfTrue="1" operator="between">
      <formula>2000001</formula>
      <formula>500000000</formula>
    </cfRule>
  </conditionalFormatting>
  <pageMargins left="0.74803149606299213" right="0.74803149606299213" top="0.47244094488188981" bottom="0.59055118110236227" header="0.51181102362204722" footer="0.51181102362204722"/>
  <pageSetup paperSize="9" scale="90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46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" style="3" customWidth="1"/>
    <col min="4" max="4" width="8.42578125" style="3" customWidth="1"/>
    <col min="5" max="5" width="47" style="1" customWidth="1"/>
    <col min="6" max="6" width="15.28515625" style="264" customWidth="1"/>
    <col min="7" max="7" width="13.5703125" style="106" customWidth="1"/>
    <col min="8" max="8" width="13.5703125" style="106" hidden="1" customWidth="1"/>
    <col min="9" max="9" width="34.8554687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4.85546875" style="106" customWidth="1"/>
    <col min="15" max="15" width="4.85546875" style="441" customWidth="1"/>
    <col min="16" max="16" width="19.5703125" style="434" bestFit="1" customWidth="1"/>
    <col min="17" max="17" width="9.140625" style="434"/>
    <col min="18" max="18" width="13.140625" style="434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6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6"/>
      <c r="P2" s="435" t="s">
        <v>522</v>
      </c>
      <c r="Q2" s="434">
        <v>8</v>
      </c>
      <c r="R2" s="436" t="e">
        <f>+#REF!+#REF!+#REF!+#REF!+#REF!+#REF!+#REF!+#REF!</f>
        <v>#REF!</v>
      </c>
      <c r="S2" s="467">
        <v>14</v>
      </c>
      <c r="T2" s="436" t="e">
        <f>+#REF!+#REF!+#REF!+#REF!+#REF!+#REF!+#REF!+#REF!+#REF!+#REF!+#REF!+#REF!+#REF!</f>
        <v>#REF!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6"/>
      <c r="P3" s="437" t="s">
        <v>523</v>
      </c>
      <c r="Q3" s="438">
        <v>4</v>
      </c>
      <c r="R3" s="439" t="e">
        <f>+#REF!+#REF!+#REF!+#REF!</f>
        <v>#REF!</v>
      </c>
      <c r="S3" s="440">
        <v>26</v>
      </c>
      <c r="T3" s="439" t="e">
        <f>+#REF!+#REF!+#REF!+#REF!+#REF!+#REF!+#REF!+#REF!+#REF!+#REF!+#REF!+#REF!+#REF!+#REF!+#REF!+#REF!+#REF!+#REF!+#REF!+#REF!+#REF!+#REF!+#REF!+#REF!+#REF!+#REF!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61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89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90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90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91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7</v>
      </c>
      <c r="F9" s="256"/>
      <c r="G9" s="105"/>
      <c r="H9" s="105"/>
      <c r="I9" s="105"/>
      <c r="J9" s="279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280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130.5" x14ac:dyDescent="0.2">
      <c r="A11" s="486">
        <v>1</v>
      </c>
      <c r="B11" s="486"/>
      <c r="C11" s="621" t="s">
        <v>295</v>
      </c>
      <c r="D11" s="486" t="s">
        <v>7</v>
      </c>
      <c r="E11" s="530" t="s">
        <v>294</v>
      </c>
      <c r="F11" s="488">
        <v>4820000</v>
      </c>
      <c r="G11" s="488"/>
      <c r="H11" s="488"/>
      <c r="I11" s="554" t="s">
        <v>603</v>
      </c>
      <c r="J11" s="557"/>
      <c r="K11" s="547"/>
      <c r="L11" s="547"/>
      <c r="M11" s="554" t="s">
        <v>604</v>
      </c>
      <c r="N11" s="554"/>
      <c r="O11" s="464">
        <v>2</v>
      </c>
      <c r="P11" s="453"/>
      <c r="Q11" s="453"/>
      <c r="R11" s="453"/>
      <c r="S11" s="453"/>
      <c r="T11" s="453"/>
    </row>
    <row r="12" spans="1:39" s="19" customFormat="1" ht="130.5" x14ac:dyDescent="0.2">
      <c r="A12" s="486">
        <v>2</v>
      </c>
      <c r="B12" s="486"/>
      <c r="C12" s="621" t="s">
        <v>295</v>
      </c>
      <c r="D12" s="486" t="s">
        <v>7</v>
      </c>
      <c r="E12" s="530" t="s">
        <v>297</v>
      </c>
      <c r="F12" s="488">
        <v>14460000</v>
      </c>
      <c r="G12" s="488"/>
      <c r="H12" s="488"/>
      <c r="I12" s="554" t="s">
        <v>605</v>
      </c>
      <c r="J12" s="557"/>
      <c r="K12" s="547"/>
      <c r="L12" s="547"/>
      <c r="M12" s="554" t="s">
        <v>604</v>
      </c>
      <c r="N12" s="554"/>
      <c r="O12" s="464">
        <v>2</v>
      </c>
      <c r="P12" s="453"/>
      <c r="Q12" s="453"/>
      <c r="R12" s="453"/>
      <c r="S12" s="453"/>
      <c r="T12" s="453"/>
    </row>
    <row r="13" spans="1:39" s="19" customFormat="1" ht="130.5" x14ac:dyDescent="0.2">
      <c r="A13" s="486">
        <v>3</v>
      </c>
      <c r="B13" s="486"/>
      <c r="C13" s="621" t="s">
        <v>295</v>
      </c>
      <c r="D13" s="486" t="s">
        <v>7</v>
      </c>
      <c r="E13" s="530" t="s">
        <v>298</v>
      </c>
      <c r="F13" s="488">
        <v>14460000</v>
      </c>
      <c r="G13" s="488"/>
      <c r="H13" s="488"/>
      <c r="I13" s="554" t="s">
        <v>606</v>
      </c>
      <c r="J13" s="557"/>
      <c r="K13" s="547"/>
      <c r="L13" s="547"/>
      <c r="M13" s="554" t="s">
        <v>607</v>
      </c>
      <c r="N13" s="554"/>
      <c r="O13" s="464">
        <v>2</v>
      </c>
      <c r="P13" s="453"/>
      <c r="Q13" s="453"/>
      <c r="R13" s="453"/>
      <c r="S13" s="453"/>
      <c r="T13" s="453"/>
    </row>
    <row r="14" spans="1:39" s="19" customFormat="1" ht="130.5" x14ac:dyDescent="0.2">
      <c r="A14" s="486">
        <v>4</v>
      </c>
      <c r="B14" s="486"/>
      <c r="C14" s="621" t="s">
        <v>295</v>
      </c>
      <c r="D14" s="486" t="s">
        <v>7</v>
      </c>
      <c r="E14" s="530" t="s">
        <v>299</v>
      </c>
      <c r="F14" s="488">
        <v>14460000</v>
      </c>
      <c r="G14" s="488"/>
      <c r="H14" s="488"/>
      <c r="I14" s="554" t="s">
        <v>606</v>
      </c>
      <c r="J14" s="557"/>
      <c r="K14" s="547"/>
      <c r="L14" s="547"/>
      <c r="M14" s="554" t="s">
        <v>604</v>
      </c>
      <c r="N14" s="554"/>
      <c r="O14" s="464">
        <v>2</v>
      </c>
      <c r="P14" s="453"/>
      <c r="Q14" s="453"/>
      <c r="R14" s="453"/>
      <c r="S14" s="453"/>
      <c r="T14" s="453"/>
    </row>
    <row r="15" spans="1:39" s="19" customFormat="1" ht="108.75" customHeight="1" x14ac:dyDescent="0.2">
      <c r="A15" s="275">
        <v>5</v>
      </c>
      <c r="B15" s="275"/>
      <c r="C15" s="620" t="s">
        <v>295</v>
      </c>
      <c r="D15" s="275" t="s">
        <v>7</v>
      </c>
      <c r="E15" s="518" t="s">
        <v>296</v>
      </c>
      <c r="F15" s="298">
        <v>1925000</v>
      </c>
      <c r="G15" s="298"/>
      <c r="H15" s="298"/>
      <c r="I15" s="548" t="s">
        <v>606</v>
      </c>
      <c r="J15" s="557"/>
      <c r="K15" s="547"/>
      <c r="L15" s="547"/>
      <c r="M15" s="548" t="s">
        <v>604</v>
      </c>
      <c r="N15" s="548"/>
      <c r="O15" s="464">
        <v>1</v>
      </c>
      <c r="P15" s="455">
        <f>SUM(F15:F15)</f>
        <v>1925000</v>
      </c>
      <c r="Q15" s="453"/>
      <c r="R15" s="453"/>
      <c r="S15" s="453"/>
      <c r="T15" s="453"/>
    </row>
    <row r="16" spans="1:39" s="19" customFormat="1" ht="144" customHeight="1" x14ac:dyDescent="0.2">
      <c r="A16" s="275">
        <v>6</v>
      </c>
      <c r="B16" s="275"/>
      <c r="C16" s="517" t="s">
        <v>301</v>
      </c>
      <c r="D16" s="275" t="s">
        <v>7</v>
      </c>
      <c r="E16" s="518" t="s">
        <v>300</v>
      </c>
      <c r="F16" s="298">
        <v>1600000</v>
      </c>
      <c r="G16" s="298"/>
      <c r="H16" s="298"/>
      <c r="I16" s="548" t="s">
        <v>608</v>
      </c>
      <c r="J16" s="513" t="s">
        <v>609</v>
      </c>
      <c r="K16" s="513" t="s">
        <v>610</v>
      </c>
      <c r="L16" s="513" t="s">
        <v>611</v>
      </c>
      <c r="M16" s="548" t="s">
        <v>612</v>
      </c>
      <c r="N16" s="548"/>
      <c r="O16" s="464">
        <v>1</v>
      </c>
      <c r="P16" s="453"/>
      <c r="Q16" s="453"/>
      <c r="R16" s="453"/>
      <c r="S16" s="453"/>
      <c r="T16" s="453"/>
    </row>
    <row r="17" spans="1:20" s="19" customFormat="1" ht="105" x14ac:dyDescent="0.2">
      <c r="A17" s="275">
        <v>7</v>
      </c>
      <c r="B17" s="275"/>
      <c r="C17" s="517" t="s">
        <v>432</v>
      </c>
      <c r="D17" s="275"/>
      <c r="E17" s="518" t="s">
        <v>544</v>
      </c>
      <c r="F17" s="298">
        <v>16500</v>
      </c>
      <c r="G17" s="298"/>
      <c r="H17" s="298"/>
      <c r="I17" s="548"/>
      <c r="J17" s="599"/>
      <c r="K17" s="513"/>
      <c r="L17" s="513"/>
      <c r="M17" s="548"/>
      <c r="N17" s="548"/>
      <c r="O17" s="464"/>
      <c r="P17" s="453"/>
      <c r="Q17" s="453"/>
      <c r="R17" s="453"/>
      <c r="S17" s="453"/>
      <c r="T17" s="453"/>
    </row>
    <row r="18" spans="1:20" s="19" customFormat="1" ht="105" x14ac:dyDescent="0.2">
      <c r="A18" s="275">
        <v>8</v>
      </c>
      <c r="B18" s="275"/>
      <c r="C18" s="517" t="s">
        <v>432</v>
      </c>
      <c r="D18" s="275"/>
      <c r="E18" s="518" t="s">
        <v>545</v>
      </c>
      <c r="F18" s="298">
        <v>61200</v>
      </c>
      <c r="G18" s="298"/>
      <c r="H18" s="298"/>
      <c r="I18" s="548"/>
      <c r="J18" s="599"/>
      <c r="K18" s="513"/>
      <c r="L18" s="513"/>
      <c r="M18" s="548"/>
      <c r="N18" s="548"/>
      <c r="O18" s="464"/>
      <c r="P18" s="453"/>
      <c r="Q18" s="453"/>
      <c r="R18" s="453"/>
      <c r="S18" s="453"/>
      <c r="T18" s="453"/>
    </row>
    <row r="19" spans="1:20" s="19" customFormat="1" ht="105" x14ac:dyDescent="0.2">
      <c r="A19" s="275">
        <v>9</v>
      </c>
      <c r="B19" s="275"/>
      <c r="C19" s="517" t="s">
        <v>432</v>
      </c>
      <c r="D19" s="275"/>
      <c r="E19" s="518" t="s">
        <v>546</v>
      </c>
      <c r="F19" s="298">
        <v>69000</v>
      </c>
      <c r="G19" s="298"/>
      <c r="H19" s="298"/>
      <c r="I19" s="548"/>
      <c r="J19" s="599"/>
      <c r="K19" s="513"/>
      <c r="L19" s="513"/>
      <c r="M19" s="548"/>
      <c r="N19" s="548"/>
      <c r="O19" s="464"/>
      <c r="P19" s="453"/>
      <c r="Q19" s="453"/>
      <c r="R19" s="453"/>
      <c r="S19" s="453"/>
      <c r="T19" s="453"/>
    </row>
    <row r="20" spans="1:20" s="304" customFormat="1" x14ac:dyDescent="0.2">
      <c r="A20" s="271"/>
      <c r="B20" s="271"/>
      <c r="C20" s="276"/>
      <c r="D20" s="271"/>
      <c r="E20" s="265"/>
      <c r="F20" s="328"/>
      <c r="G20" s="274"/>
      <c r="H20" s="274"/>
      <c r="I20" s="300"/>
      <c r="J20" s="306"/>
      <c r="K20" s="287"/>
      <c r="L20" s="287"/>
      <c r="M20" s="300"/>
      <c r="N20" s="300"/>
      <c r="O20" s="447"/>
      <c r="P20" s="448"/>
      <c r="Q20" s="448"/>
      <c r="R20" s="448"/>
      <c r="S20" s="448"/>
      <c r="T20" s="448"/>
    </row>
    <row r="21" spans="1:20" s="14" customFormat="1" x14ac:dyDescent="0.5">
      <c r="A21" s="241">
        <f>+A19</f>
        <v>9</v>
      </c>
      <c r="B21" s="241"/>
      <c r="C21" s="241"/>
      <c r="D21" s="241"/>
      <c r="E21" s="242" t="s">
        <v>47</v>
      </c>
      <c r="F21" s="329">
        <f>SUM(F11:F20)</f>
        <v>51871700</v>
      </c>
      <c r="G21" s="243">
        <f>SUM(G20:G20)</f>
        <v>0</v>
      </c>
      <c r="H21" s="243">
        <f>SUM(H20:H20)</f>
        <v>0</v>
      </c>
      <c r="I21" s="258"/>
      <c r="J21" s="281">
        <f>SUM(J20:J20)</f>
        <v>0</v>
      </c>
      <c r="K21" s="258">
        <f>SUM(K20:K20)</f>
        <v>0</v>
      </c>
      <c r="L21" s="258">
        <f>SUM(L20:L20)</f>
        <v>0</v>
      </c>
      <c r="M21" s="258"/>
      <c r="N21" s="258"/>
      <c r="O21" s="449"/>
      <c r="P21" s="450">
        <f>+F21+G21</f>
        <v>51871700</v>
      </c>
      <c r="Q21" s="451"/>
      <c r="R21" s="451"/>
      <c r="S21" s="452"/>
      <c r="T21" s="452"/>
    </row>
    <row r="22" spans="1:20" s="19" customFormat="1" x14ac:dyDescent="0.2">
      <c r="A22" s="17"/>
      <c r="B22" s="17"/>
      <c r="C22" s="17"/>
      <c r="D22" s="17"/>
      <c r="E22" s="30" t="s">
        <v>10</v>
      </c>
      <c r="F22" s="336"/>
      <c r="G22" s="34"/>
      <c r="H22" s="34"/>
      <c r="I22" s="34"/>
      <c r="J22" s="278"/>
      <c r="K22" s="18"/>
      <c r="L22" s="18"/>
      <c r="M22" s="34"/>
      <c r="N22" s="34"/>
      <c r="O22" s="445"/>
      <c r="P22" s="453"/>
      <c r="Q22" s="453"/>
      <c r="R22" s="453"/>
      <c r="S22" s="453"/>
      <c r="T22" s="453"/>
    </row>
    <row r="23" spans="1:20" s="19" customFormat="1" ht="42" customHeight="1" x14ac:dyDescent="0.2">
      <c r="A23" s="486">
        <v>1</v>
      </c>
      <c r="B23" s="486"/>
      <c r="C23" s="622" t="s">
        <v>295</v>
      </c>
      <c r="D23" s="486" t="s">
        <v>7</v>
      </c>
      <c r="E23" s="530" t="s">
        <v>312</v>
      </c>
      <c r="F23" s="531">
        <v>22314100</v>
      </c>
      <c r="G23" s="492"/>
      <c r="H23" s="492"/>
      <c r="I23" s="554" t="s">
        <v>613</v>
      </c>
      <c r="J23" s="557"/>
      <c r="K23" s="547"/>
      <c r="L23" s="547"/>
      <c r="M23" s="554" t="s">
        <v>614</v>
      </c>
      <c r="N23" s="554"/>
      <c r="O23" s="464">
        <v>2</v>
      </c>
      <c r="P23" s="453"/>
      <c r="Q23" s="453"/>
      <c r="R23" s="453"/>
      <c r="S23" s="453"/>
      <c r="T23" s="453"/>
    </row>
    <row r="24" spans="1:20" s="19" customFormat="1" ht="42" customHeight="1" x14ac:dyDescent="0.2">
      <c r="A24" s="486">
        <v>2</v>
      </c>
      <c r="B24" s="486"/>
      <c r="C24" s="622" t="s">
        <v>295</v>
      </c>
      <c r="D24" s="486" t="s">
        <v>7</v>
      </c>
      <c r="E24" s="530" t="s">
        <v>310</v>
      </c>
      <c r="F24" s="531">
        <v>22314100</v>
      </c>
      <c r="G24" s="492"/>
      <c r="H24" s="492"/>
      <c r="I24" s="554" t="s">
        <v>615</v>
      </c>
      <c r="J24" s="557"/>
      <c r="K24" s="547"/>
      <c r="L24" s="547"/>
      <c r="M24" s="554" t="s">
        <v>614</v>
      </c>
      <c r="N24" s="554"/>
      <c r="O24" s="464">
        <v>2</v>
      </c>
      <c r="P24" s="453"/>
      <c r="Q24" s="453"/>
      <c r="R24" s="453"/>
      <c r="S24" s="453"/>
      <c r="T24" s="453"/>
    </row>
    <row r="25" spans="1:20" s="19" customFormat="1" ht="42" customHeight="1" x14ac:dyDescent="0.2">
      <c r="A25" s="486">
        <v>3</v>
      </c>
      <c r="B25" s="486"/>
      <c r="C25" s="622" t="s">
        <v>295</v>
      </c>
      <c r="D25" s="486" t="s">
        <v>7</v>
      </c>
      <c r="E25" s="530" t="s">
        <v>309</v>
      </c>
      <c r="F25" s="531">
        <v>22314100</v>
      </c>
      <c r="G25" s="492"/>
      <c r="H25" s="492"/>
      <c r="I25" s="554" t="s">
        <v>615</v>
      </c>
      <c r="J25" s="557"/>
      <c r="K25" s="547"/>
      <c r="L25" s="547"/>
      <c r="M25" s="554" t="s">
        <v>614</v>
      </c>
      <c r="N25" s="554"/>
      <c r="O25" s="464">
        <v>2</v>
      </c>
      <c r="P25" s="453"/>
      <c r="Q25" s="453"/>
      <c r="R25" s="453"/>
      <c r="S25" s="453"/>
      <c r="T25" s="453"/>
    </row>
    <row r="26" spans="1:20" s="19" customFormat="1" ht="42" customHeight="1" x14ac:dyDescent="0.2">
      <c r="A26" s="486">
        <v>4</v>
      </c>
      <c r="B26" s="486"/>
      <c r="C26" s="622" t="s">
        <v>295</v>
      </c>
      <c r="D26" s="486" t="s">
        <v>7</v>
      </c>
      <c r="E26" s="530" t="s">
        <v>308</v>
      </c>
      <c r="F26" s="531">
        <v>22314100</v>
      </c>
      <c r="G26" s="492"/>
      <c r="H26" s="492"/>
      <c r="I26" s="554" t="s">
        <v>615</v>
      </c>
      <c r="J26" s="557"/>
      <c r="K26" s="547"/>
      <c r="L26" s="547"/>
      <c r="M26" s="554" t="s">
        <v>614</v>
      </c>
      <c r="N26" s="554"/>
      <c r="O26" s="464">
        <v>2</v>
      </c>
      <c r="P26" s="453"/>
      <c r="Q26" s="453"/>
      <c r="R26" s="453"/>
      <c r="S26" s="453"/>
      <c r="T26" s="453"/>
    </row>
    <row r="27" spans="1:20" s="19" customFormat="1" ht="42" customHeight="1" x14ac:dyDescent="0.2">
      <c r="A27" s="486">
        <v>5</v>
      </c>
      <c r="B27" s="486"/>
      <c r="C27" s="622" t="s">
        <v>295</v>
      </c>
      <c r="D27" s="486" t="s">
        <v>7</v>
      </c>
      <c r="E27" s="530" t="s">
        <v>307</v>
      </c>
      <c r="F27" s="531">
        <v>22700000</v>
      </c>
      <c r="G27" s="492"/>
      <c r="H27" s="492"/>
      <c r="I27" s="554" t="s">
        <v>615</v>
      </c>
      <c r="J27" s="557"/>
      <c r="K27" s="547"/>
      <c r="L27" s="547"/>
      <c r="M27" s="554" t="s">
        <v>614</v>
      </c>
      <c r="N27" s="554"/>
      <c r="O27" s="464">
        <v>2</v>
      </c>
      <c r="P27" s="453"/>
      <c r="Q27" s="453"/>
      <c r="R27" s="453"/>
      <c r="S27" s="453"/>
      <c r="T27" s="453"/>
    </row>
    <row r="28" spans="1:20" s="19" customFormat="1" ht="42" customHeight="1" x14ac:dyDescent="0.2">
      <c r="A28" s="486">
        <v>6</v>
      </c>
      <c r="B28" s="486"/>
      <c r="C28" s="622" t="s">
        <v>295</v>
      </c>
      <c r="D28" s="486" t="s">
        <v>7</v>
      </c>
      <c r="E28" s="530" t="s">
        <v>306</v>
      </c>
      <c r="F28" s="531">
        <v>22314100</v>
      </c>
      <c r="G28" s="492"/>
      <c r="H28" s="492"/>
      <c r="I28" s="554" t="s">
        <v>615</v>
      </c>
      <c r="J28" s="557"/>
      <c r="K28" s="547"/>
      <c r="L28" s="547"/>
      <c r="M28" s="554" t="s">
        <v>614</v>
      </c>
      <c r="N28" s="554"/>
      <c r="O28" s="464">
        <v>2</v>
      </c>
      <c r="P28" s="453"/>
      <c r="Q28" s="453"/>
      <c r="R28" s="453"/>
      <c r="S28" s="453"/>
      <c r="T28" s="453"/>
    </row>
    <row r="29" spans="1:20" s="19" customFormat="1" ht="42" customHeight="1" x14ac:dyDescent="0.2">
      <c r="A29" s="486">
        <v>7</v>
      </c>
      <c r="B29" s="486"/>
      <c r="C29" s="622" t="s">
        <v>295</v>
      </c>
      <c r="D29" s="486" t="s">
        <v>7</v>
      </c>
      <c r="E29" s="530" t="s">
        <v>305</v>
      </c>
      <c r="F29" s="531">
        <v>22314100</v>
      </c>
      <c r="G29" s="492"/>
      <c r="H29" s="492"/>
      <c r="I29" s="554" t="s">
        <v>615</v>
      </c>
      <c r="J29" s="557"/>
      <c r="K29" s="547"/>
      <c r="L29" s="547"/>
      <c r="M29" s="554" t="s">
        <v>614</v>
      </c>
      <c r="N29" s="554"/>
      <c r="O29" s="464">
        <v>2</v>
      </c>
      <c r="P29" s="453"/>
      <c r="Q29" s="453"/>
      <c r="R29" s="453"/>
      <c r="S29" s="453"/>
      <c r="T29" s="453"/>
    </row>
    <row r="30" spans="1:20" s="19" customFormat="1" ht="42" customHeight="1" x14ac:dyDescent="0.2">
      <c r="A30" s="486">
        <v>8</v>
      </c>
      <c r="B30" s="486"/>
      <c r="C30" s="622" t="s">
        <v>295</v>
      </c>
      <c r="D30" s="486" t="s">
        <v>7</v>
      </c>
      <c r="E30" s="530" t="s">
        <v>304</v>
      </c>
      <c r="F30" s="531">
        <v>29490000</v>
      </c>
      <c r="G30" s="492"/>
      <c r="H30" s="492"/>
      <c r="I30" s="554" t="s">
        <v>615</v>
      </c>
      <c r="J30" s="557"/>
      <c r="K30" s="547"/>
      <c r="L30" s="547"/>
      <c r="M30" s="554" t="s">
        <v>614</v>
      </c>
      <c r="N30" s="554"/>
      <c r="O30" s="464">
        <v>2</v>
      </c>
      <c r="P30" s="453"/>
      <c r="Q30" s="453"/>
      <c r="R30" s="453"/>
      <c r="S30" s="453"/>
      <c r="T30" s="453"/>
    </row>
    <row r="31" spans="1:20" s="19" customFormat="1" ht="39.75" customHeight="1" x14ac:dyDescent="0.2">
      <c r="A31" s="486">
        <v>9</v>
      </c>
      <c r="B31" s="486"/>
      <c r="C31" s="622" t="s">
        <v>295</v>
      </c>
      <c r="D31" s="486" t="s">
        <v>7</v>
      </c>
      <c r="E31" s="530" t="s">
        <v>316</v>
      </c>
      <c r="F31" s="531">
        <v>3089000</v>
      </c>
      <c r="G31" s="492"/>
      <c r="H31" s="492"/>
      <c r="I31" s="554" t="s">
        <v>615</v>
      </c>
      <c r="J31" s="557"/>
      <c r="K31" s="547"/>
      <c r="L31" s="547"/>
      <c r="M31" s="554" t="s">
        <v>616</v>
      </c>
      <c r="N31" s="554"/>
      <c r="O31" s="464">
        <v>2</v>
      </c>
      <c r="P31" s="453"/>
      <c r="Q31" s="453"/>
      <c r="R31" s="453"/>
      <c r="S31" s="453"/>
      <c r="T31" s="453"/>
    </row>
    <row r="32" spans="1:20" s="19" customFormat="1" ht="42.75" customHeight="1" x14ac:dyDescent="0.2">
      <c r="A32" s="486">
        <v>10</v>
      </c>
      <c r="B32" s="486"/>
      <c r="C32" s="622" t="s">
        <v>295</v>
      </c>
      <c r="D32" s="486" t="s">
        <v>7</v>
      </c>
      <c r="E32" s="530" t="s">
        <v>315</v>
      </c>
      <c r="F32" s="531">
        <v>6952000</v>
      </c>
      <c r="G32" s="492"/>
      <c r="H32" s="492"/>
      <c r="I32" s="554" t="s">
        <v>615</v>
      </c>
      <c r="J32" s="557"/>
      <c r="K32" s="547"/>
      <c r="L32" s="547"/>
      <c r="M32" s="554" t="s">
        <v>616</v>
      </c>
      <c r="N32" s="554"/>
      <c r="O32" s="464">
        <v>2</v>
      </c>
      <c r="P32" s="453"/>
      <c r="Q32" s="453"/>
      <c r="R32" s="453"/>
      <c r="S32" s="453"/>
      <c r="T32" s="453"/>
    </row>
    <row r="33" spans="1:47" s="19" customFormat="1" ht="41.25" customHeight="1" x14ac:dyDescent="0.2">
      <c r="A33" s="486">
        <v>11</v>
      </c>
      <c r="B33" s="486"/>
      <c r="C33" s="622" t="s">
        <v>295</v>
      </c>
      <c r="D33" s="486" t="s">
        <v>7</v>
      </c>
      <c r="E33" s="530" t="s">
        <v>314</v>
      </c>
      <c r="F33" s="531">
        <v>3089000</v>
      </c>
      <c r="G33" s="492"/>
      <c r="H33" s="492"/>
      <c r="I33" s="554" t="s">
        <v>615</v>
      </c>
      <c r="J33" s="557"/>
      <c r="K33" s="547"/>
      <c r="L33" s="547"/>
      <c r="M33" s="554" t="s">
        <v>616</v>
      </c>
      <c r="N33" s="554"/>
      <c r="O33" s="464">
        <v>2</v>
      </c>
      <c r="P33" s="453"/>
      <c r="Q33" s="453"/>
      <c r="R33" s="453"/>
      <c r="S33" s="453"/>
      <c r="T33" s="453"/>
    </row>
    <row r="34" spans="1:47" s="19" customFormat="1" ht="43.5" customHeight="1" x14ac:dyDescent="0.2">
      <c r="A34" s="486">
        <v>12</v>
      </c>
      <c r="B34" s="486"/>
      <c r="C34" s="622" t="s">
        <v>295</v>
      </c>
      <c r="D34" s="486" t="s">
        <v>7</v>
      </c>
      <c r="E34" s="530" t="s">
        <v>313</v>
      </c>
      <c r="F34" s="531">
        <v>3089000</v>
      </c>
      <c r="G34" s="492"/>
      <c r="H34" s="492"/>
      <c r="I34" s="554" t="s">
        <v>615</v>
      </c>
      <c r="J34" s="557"/>
      <c r="K34" s="547"/>
      <c r="L34" s="547"/>
      <c r="M34" s="554" t="s">
        <v>616</v>
      </c>
      <c r="N34" s="554"/>
      <c r="O34" s="464">
        <v>2</v>
      </c>
      <c r="P34" s="455">
        <f>SUM(F35:F35)</f>
        <v>216000</v>
      </c>
      <c r="Q34" s="453"/>
      <c r="R34" s="453"/>
      <c r="S34" s="453"/>
      <c r="T34" s="453"/>
    </row>
    <row r="35" spans="1:47" s="19" customFormat="1" ht="42" customHeight="1" x14ac:dyDescent="0.2">
      <c r="A35" s="275">
        <v>13</v>
      </c>
      <c r="B35" s="275"/>
      <c r="C35" s="623" t="s">
        <v>295</v>
      </c>
      <c r="D35" s="275" t="s">
        <v>7</v>
      </c>
      <c r="E35" s="518" t="s">
        <v>311</v>
      </c>
      <c r="F35" s="519">
        <v>216000</v>
      </c>
      <c r="G35" s="366"/>
      <c r="H35" s="366"/>
      <c r="I35" s="548" t="s">
        <v>615</v>
      </c>
      <c r="J35" s="557"/>
      <c r="K35" s="547"/>
      <c r="L35" s="547"/>
      <c r="M35" s="548" t="s">
        <v>617</v>
      </c>
      <c r="N35" s="548"/>
      <c r="O35" s="464">
        <v>1</v>
      </c>
      <c r="P35" s="453"/>
      <c r="Q35" s="453"/>
      <c r="R35" s="453"/>
      <c r="S35" s="453"/>
      <c r="T35" s="453"/>
    </row>
    <row r="36" spans="1:47" s="19" customFormat="1" ht="111.75" customHeight="1" x14ac:dyDescent="0.2">
      <c r="A36" s="275">
        <v>14</v>
      </c>
      <c r="B36" s="275" t="s">
        <v>7</v>
      </c>
      <c r="C36" s="517" t="s">
        <v>432</v>
      </c>
      <c r="D36" s="275" t="s">
        <v>7</v>
      </c>
      <c r="E36" s="518" t="s">
        <v>547</v>
      </c>
      <c r="F36" s="519">
        <v>150000</v>
      </c>
      <c r="G36" s="366"/>
      <c r="H36" s="366"/>
      <c r="I36" s="548"/>
      <c r="J36" s="557"/>
      <c r="K36" s="547"/>
      <c r="L36" s="547"/>
      <c r="M36" s="624"/>
      <c r="N36" s="624"/>
      <c r="O36" s="464"/>
      <c r="P36" s="453"/>
      <c r="Q36" s="453"/>
      <c r="R36" s="453"/>
      <c r="S36" s="453"/>
      <c r="T36" s="453"/>
    </row>
    <row r="37" spans="1:47" s="9" customFormat="1" x14ac:dyDescent="0.2">
      <c r="A37" s="6"/>
      <c r="B37" s="6"/>
      <c r="C37" s="6"/>
      <c r="D37" s="6"/>
      <c r="E37" s="7"/>
      <c r="F37" s="335"/>
      <c r="G37" s="29"/>
      <c r="H37" s="29"/>
      <c r="I37" s="11"/>
      <c r="J37" s="280"/>
      <c r="K37" s="10"/>
      <c r="L37" s="10"/>
      <c r="M37" s="11"/>
      <c r="N37" s="11"/>
      <c r="O37" s="445"/>
      <c r="P37" s="437"/>
      <c r="Q37" s="437"/>
      <c r="R37" s="437"/>
      <c r="S37" s="437"/>
      <c r="T37" s="437"/>
    </row>
    <row r="38" spans="1:47" s="19" customFormat="1" ht="22.5" thickBot="1" x14ac:dyDescent="0.55000000000000004">
      <c r="A38" s="244">
        <f>+A36</f>
        <v>14</v>
      </c>
      <c r="B38" s="244"/>
      <c r="C38" s="244"/>
      <c r="D38" s="244"/>
      <c r="E38" s="245" t="s">
        <v>33</v>
      </c>
      <c r="F38" s="330">
        <f>SUM(F23:F37)</f>
        <v>202659600</v>
      </c>
      <c r="G38" s="246">
        <f>SUM(G23:G37)</f>
        <v>0</v>
      </c>
      <c r="H38" s="246">
        <f>SUM(H23:H37)</f>
        <v>0</v>
      </c>
      <c r="I38" s="259"/>
      <c r="J38" s="282">
        <f>SUM(J23:J37)</f>
        <v>0</v>
      </c>
      <c r="K38" s="259">
        <f>SUM(K23:K37)</f>
        <v>0</v>
      </c>
      <c r="L38" s="259">
        <f>SUM(L23:L37)</f>
        <v>0</v>
      </c>
      <c r="M38" s="259"/>
      <c r="N38" s="259"/>
      <c r="O38" s="443"/>
      <c r="P38" s="455">
        <f>+F38+G38</f>
        <v>202659600</v>
      </c>
      <c r="Q38" s="451"/>
      <c r="R38" s="451"/>
      <c r="S38" s="453"/>
      <c r="T38" s="453"/>
    </row>
    <row r="39" spans="1:47" s="28" customFormat="1" ht="22.5" thickBot="1" x14ac:dyDescent="0.55000000000000004">
      <c r="A39" s="247">
        <f>+A21+A38</f>
        <v>23</v>
      </c>
      <c r="B39" s="248"/>
      <c r="C39" s="248"/>
      <c r="D39" s="248"/>
      <c r="E39" s="248" t="s">
        <v>184</v>
      </c>
      <c r="F39" s="331">
        <f>F21+F38</f>
        <v>254531300</v>
      </c>
      <c r="G39" s="310">
        <f>+G21+G38</f>
        <v>0</v>
      </c>
      <c r="H39" s="310">
        <f>+H21+H38</f>
        <v>0</v>
      </c>
      <c r="I39" s="249"/>
      <c r="J39" s="283">
        <f>J21+J38</f>
        <v>0</v>
      </c>
      <c r="K39" s="249">
        <f>K21+K38</f>
        <v>0</v>
      </c>
      <c r="L39" s="249">
        <f>L21+L38</f>
        <v>0</v>
      </c>
      <c r="M39" s="249"/>
      <c r="N39" s="249"/>
      <c r="O39" s="456"/>
      <c r="P39" s="450">
        <f>+P21+P38</f>
        <v>254531300</v>
      </c>
      <c r="Q39" s="457"/>
      <c r="R39" s="457"/>
      <c r="S39" s="434"/>
      <c r="T39" s="434"/>
      <c r="U39" s="2"/>
      <c r="V39" s="2"/>
      <c r="W39" s="2"/>
      <c r="X39" s="2"/>
      <c r="Y39" s="2"/>
      <c r="Z39" s="2"/>
      <c r="AA39" s="2"/>
      <c r="AB39" s="2"/>
    </row>
    <row r="40" spans="1:47" s="9" customFormat="1" x14ac:dyDescent="0.2">
      <c r="A40" s="15"/>
      <c r="B40" s="15"/>
      <c r="C40" s="15"/>
      <c r="D40" s="15"/>
      <c r="E40" s="31"/>
      <c r="F40" s="104"/>
      <c r="G40" s="20"/>
      <c r="H40" s="20"/>
      <c r="I40" s="20"/>
      <c r="J40" s="20"/>
      <c r="K40" s="104"/>
      <c r="L40" s="104"/>
      <c r="M40" s="20"/>
      <c r="N40" s="20"/>
      <c r="O40" s="445"/>
      <c r="P40" s="437"/>
      <c r="Q40" s="437"/>
      <c r="R40" s="437"/>
      <c r="S40" s="437"/>
      <c r="T40" s="437"/>
    </row>
    <row r="41" spans="1:47" s="9" customFormat="1" x14ac:dyDescent="0.5">
      <c r="A41" s="15"/>
      <c r="B41" s="15"/>
      <c r="C41" s="15"/>
      <c r="D41" s="15"/>
      <c r="E41" s="31"/>
      <c r="F41" s="261"/>
      <c r="G41" s="20"/>
      <c r="H41" s="20"/>
      <c r="I41" s="20"/>
      <c r="J41" s="20"/>
      <c r="K41" s="104"/>
      <c r="L41" s="104"/>
      <c r="M41" s="20"/>
      <c r="N41" s="20"/>
      <c r="O41" s="445"/>
      <c r="P41" s="437"/>
      <c r="Q41" s="437"/>
      <c r="R41" s="437"/>
      <c r="S41" s="437"/>
      <c r="T41" s="437"/>
    </row>
    <row r="43" spans="1:47" s="23" customFormat="1" ht="22.5" thickBot="1" x14ac:dyDescent="0.55000000000000004">
      <c r="A43" s="22"/>
      <c r="B43" s="22"/>
      <c r="C43" s="22"/>
      <c r="D43" s="22"/>
      <c r="E43" s="81" t="s">
        <v>99</v>
      </c>
      <c r="F43" s="262"/>
      <c r="G43" s="238"/>
      <c r="H43" s="125"/>
      <c r="I43" s="125"/>
      <c r="J43" s="125"/>
      <c r="K43" s="190"/>
      <c r="L43" s="190"/>
      <c r="M43" s="125"/>
      <c r="N43" s="125"/>
      <c r="O43" s="441"/>
      <c r="P43" s="434"/>
      <c r="Q43" s="434"/>
      <c r="R43" s="434"/>
      <c r="S43" s="434"/>
      <c r="T43" s="43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</row>
    <row r="44" spans="1:47" s="23" customFormat="1" ht="22.5" thickTop="1" x14ac:dyDescent="0.5">
      <c r="A44" s="22"/>
      <c r="B44" s="22"/>
      <c r="C44" s="22"/>
      <c r="D44" s="22"/>
      <c r="E44" s="23" t="s">
        <v>25</v>
      </c>
      <c r="F44" s="263"/>
      <c r="G44" s="107"/>
      <c r="H44" s="107"/>
      <c r="I44" s="107"/>
      <c r="J44" s="107"/>
      <c r="K44" s="190"/>
      <c r="L44" s="190"/>
      <c r="M44" s="107"/>
      <c r="N44" s="107"/>
      <c r="O44" s="441"/>
      <c r="P44" s="434"/>
      <c r="Q44" s="434"/>
      <c r="R44" s="434"/>
      <c r="S44" s="434"/>
      <c r="T44" s="43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</row>
    <row r="45" spans="1:47" s="23" customFormat="1" x14ac:dyDescent="0.5">
      <c r="A45" s="22"/>
      <c r="B45" s="22"/>
      <c r="C45" s="22"/>
      <c r="D45" s="22"/>
      <c r="E45" s="23" t="s">
        <v>98</v>
      </c>
      <c r="F45" s="263"/>
      <c r="G45" s="107"/>
      <c r="H45" s="107"/>
      <c r="I45" s="107"/>
      <c r="J45" s="107"/>
      <c r="K45" s="190"/>
      <c r="L45" s="190"/>
      <c r="M45" s="107"/>
      <c r="N45" s="107"/>
      <c r="O45" s="441"/>
      <c r="P45" s="434"/>
      <c r="Q45" s="434"/>
      <c r="R45" s="434"/>
      <c r="S45" s="434"/>
      <c r="T45" s="43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</row>
    <row r="46" spans="1:47" s="23" customFormat="1" x14ac:dyDescent="0.5">
      <c r="A46" s="22"/>
      <c r="B46" s="22"/>
      <c r="C46" s="22"/>
      <c r="D46" s="22"/>
      <c r="E46" s="23" t="s">
        <v>18</v>
      </c>
      <c r="F46" s="263"/>
      <c r="G46" s="107"/>
      <c r="H46" s="107"/>
      <c r="I46" s="107"/>
      <c r="J46" s="107"/>
      <c r="K46" s="190"/>
      <c r="L46" s="190"/>
      <c r="M46" s="107"/>
      <c r="N46" s="107"/>
      <c r="O46" s="441"/>
      <c r="P46" s="434"/>
      <c r="Q46" s="434"/>
      <c r="R46" s="434"/>
      <c r="S46" s="434"/>
      <c r="T46" s="43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</row>
  </sheetData>
  <autoFilter ref="O1:O46"/>
  <mergeCells count="21">
    <mergeCell ref="A1:N1"/>
    <mergeCell ref="A2:N2"/>
    <mergeCell ref="A3:N3"/>
    <mergeCell ref="J5:J8"/>
    <mergeCell ref="I5:I8"/>
    <mergeCell ref="F5:H5"/>
    <mergeCell ref="H6:H8"/>
    <mergeCell ref="N5:N8"/>
    <mergeCell ref="M5:M8"/>
    <mergeCell ref="A5:A8"/>
    <mergeCell ref="C5:C8"/>
    <mergeCell ref="B5:B8"/>
    <mergeCell ref="D5:D8"/>
    <mergeCell ref="R5:R8"/>
    <mergeCell ref="F4:G4"/>
    <mergeCell ref="E5:E8"/>
    <mergeCell ref="F6:F8"/>
    <mergeCell ref="K5:K8"/>
    <mergeCell ref="L5:L8"/>
    <mergeCell ref="Q5:Q8"/>
    <mergeCell ref="G6:G8"/>
  </mergeCells>
  <phoneticPr fontId="2" type="noConversion"/>
  <conditionalFormatting sqref="F11 F15 F31:F36">
    <cfRule type="cellIs" dxfId="79" priority="9" stopIfTrue="1" operator="between">
      <formula>2000001</formula>
      <formula>500000000</formula>
    </cfRule>
  </conditionalFormatting>
  <conditionalFormatting sqref="F12:F14">
    <cfRule type="cellIs" dxfId="78" priority="7" stopIfTrue="1" operator="between">
      <formula>2000001</formula>
      <formula>500000000</formula>
    </cfRule>
  </conditionalFormatting>
  <conditionalFormatting sqref="F16:F19">
    <cfRule type="cellIs" dxfId="77" priority="6" stopIfTrue="1" operator="between">
      <formula>2000001</formula>
      <formula>500000000</formula>
    </cfRule>
  </conditionalFormatting>
  <conditionalFormatting sqref="F23">
    <cfRule type="cellIs" dxfId="76" priority="4" stopIfTrue="1" operator="between">
      <formula>2000001</formula>
      <formula>500000000</formula>
    </cfRule>
  </conditionalFormatting>
  <conditionalFormatting sqref="F24:F26">
    <cfRule type="cellIs" dxfId="75" priority="3" stopIfTrue="1" operator="between">
      <formula>2000001</formula>
      <formula>500000000</formula>
    </cfRule>
  </conditionalFormatting>
  <conditionalFormatting sqref="F27:F29">
    <cfRule type="cellIs" dxfId="74" priority="2" stopIfTrue="1" operator="between">
      <formula>2000001</formula>
      <formula>500000000</formula>
    </cfRule>
  </conditionalFormatting>
  <conditionalFormatting sqref="F30">
    <cfRule type="cellIs" dxfId="73" priority="1" stopIfTrue="1" operator="between">
      <formula>2000001</formula>
      <formula>500000000</formula>
    </cfRule>
  </conditionalFormatting>
  <pageMargins left="0.74803149606299213" right="0.74803149606299213" top="0.35433070866141736" bottom="0.39370078740157483" header="0.27559055118110237" footer="0.31496062992125984"/>
  <pageSetup paperSize="9" scale="90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43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5703125" style="3" customWidth="1"/>
    <col min="5" max="5" width="46.42578125" style="1" customWidth="1"/>
    <col min="6" max="6" width="16" style="4" bestFit="1" customWidth="1"/>
    <col min="7" max="7" width="13.7109375" style="106" customWidth="1"/>
    <col min="8" max="8" width="13.7109375" style="106" hidden="1" customWidth="1"/>
    <col min="9" max="9" width="33.28515625" style="106" hidden="1" customWidth="1"/>
    <col min="10" max="10" width="13.140625" style="106" hidden="1" customWidth="1"/>
    <col min="11" max="11" width="12.28515625" style="156" hidden="1" customWidth="1"/>
    <col min="12" max="12" width="11.140625" style="156" hidden="1" customWidth="1"/>
    <col min="13" max="14" width="33.7109375" style="106" customWidth="1"/>
    <col min="15" max="15" width="5.140625" style="441" customWidth="1"/>
    <col min="16" max="16" width="19.5703125" style="434" bestFit="1" customWidth="1"/>
    <col min="17" max="17" width="11" style="434" bestFit="1" customWidth="1"/>
    <col min="18" max="18" width="14.5703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6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6"/>
      <c r="P2" s="435" t="s">
        <v>522</v>
      </c>
      <c r="Q2" s="434">
        <v>19</v>
      </c>
      <c r="R2" s="436" t="e">
        <f>+#REF!+#REF!+#REF!+#REF!+#REF!+#REF!+#REF!+#REF!+#REF!+#REF!+#REF!+#REF!+#REF!+#REF!+#REF!+#REF!+#REF!+#REF!+#REF!</f>
        <v>#REF!</v>
      </c>
      <c r="S2" s="467" t="s">
        <v>209</v>
      </c>
      <c r="T2" s="436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6"/>
      <c r="P3" s="437" t="s">
        <v>523</v>
      </c>
      <c r="Q3" s="438">
        <v>8</v>
      </c>
      <c r="R3" s="439" t="e">
        <f>+#REF!+#REF!+#REF!+#REF!+#REF!+#REF!+#REF!+#REF!</f>
        <v>#REF!</v>
      </c>
      <c r="S3" s="440">
        <v>2</v>
      </c>
      <c r="T3" s="439" t="e">
        <f>+#REF!+#REF!</f>
        <v>#REF!</v>
      </c>
      <c r="U3" s="1"/>
      <c r="V3" s="1"/>
      <c r="W3" s="1"/>
      <c r="X3" s="1"/>
      <c r="Y3" s="1"/>
      <c r="Z3" s="1"/>
      <c r="AA3" s="1"/>
      <c r="AB3" s="1"/>
    </row>
    <row r="4" spans="1:39" ht="20.25" customHeight="1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16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65.25" x14ac:dyDescent="0.2">
      <c r="A11" s="486">
        <v>1</v>
      </c>
      <c r="B11" s="486"/>
      <c r="C11" s="486" t="s">
        <v>410</v>
      </c>
      <c r="D11" s="486" t="s">
        <v>16</v>
      </c>
      <c r="E11" s="601" t="s">
        <v>412</v>
      </c>
      <c r="F11" s="602">
        <v>7560000</v>
      </c>
      <c r="G11" s="488"/>
      <c r="H11" s="488"/>
      <c r="I11" s="554"/>
      <c r="J11" s="548"/>
      <c r="K11" s="548"/>
      <c r="L11" s="548"/>
      <c r="M11" s="554" t="s">
        <v>618</v>
      </c>
      <c r="N11" s="554"/>
      <c r="O11" s="464">
        <v>2</v>
      </c>
      <c r="P11" s="453"/>
      <c r="Q11" s="453"/>
      <c r="R11" s="453"/>
      <c r="S11" s="453"/>
      <c r="T11" s="453"/>
    </row>
    <row r="12" spans="1:39" s="19" customFormat="1" ht="43.5" x14ac:dyDescent="0.2">
      <c r="A12" s="275">
        <v>2</v>
      </c>
      <c r="B12" s="275"/>
      <c r="C12" s="275" t="s">
        <v>410</v>
      </c>
      <c r="D12" s="275" t="s">
        <v>16</v>
      </c>
      <c r="E12" s="611" t="s">
        <v>411</v>
      </c>
      <c r="F12" s="612">
        <v>897000</v>
      </c>
      <c r="G12" s="298"/>
      <c r="H12" s="298"/>
      <c r="I12" s="548" t="s">
        <v>619</v>
      </c>
      <c r="J12" s="548"/>
      <c r="K12" s="548"/>
      <c r="L12" s="548"/>
      <c r="M12" s="548" t="s">
        <v>620</v>
      </c>
      <c r="N12" s="548"/>
      <c r="O12" s="464">
        <v>1</v>
      </c>
      <c r="P12" s="453"/>
      <c r="Q12" s="453"/>
      <c r="R12" s="453"/>
      <c r="S12" s="453"/>
      <c r="T12" s="453"/>
    </row>
    <row r="13" spans="1:39" s="19" customFormat="1" ht="65.25" x14ac:dyDescent="0.2">
      <c r="A13" s="486">
        <v>3</v>
      </c>
      <c r="B13" s="486"/>
      <c r="C13" s="558" t="s">
        <v>414</v>
      </c>
      <c r="D13" s="486" t="s">
        <v>16</v>
      </c>
      <c r="E13" s="601" t="s">
        <v>409</v>
      </c>
      <c r="F13" s="602">
        <v>5290000</v>
      </c>
      <c r="G13" s="488"/>
      <c r="H13" s="488"/>
      <c r="I13" s="554"/>
      <c r="J13" s="548"/>
      <c r="K13" s="548"/>
      <c r="L13" s="548"/>
      <c r="M13" s="554" t="s">
        <v>621</v>
      </c>
      <c r="N13" s="554"/>
      <c r="O13" s="464">
        <v>2</v>
      </c>
      <c r="P13" s="453"/>
      <c r="Q13" s="453"/>
      <c r="R13" s="453"/>
      <c r="S13" s="453"/>
      <c r="T13" s="453"/>
    </row>
    <row r="14" spans="1:39" s="19" customFormat="1" ht="45" x14ac:dyDescent="0.2">
      <c r="A14" s="275">
        <v>4</v>
      </c>
      <c r="B14" s="275"/>
      <c r="C14" s="625" t="s">
        <v>430</v>
      </c>
      <c r="D14" s="275" t="s">
        <v>16</v>
      </c>
      <c r="E14" s="626" t="s">
        <v>415</v>
      </c>
      <c r="F14" s="627">
        <v>597000</v>
      </c>
      <c r="G14" s="34"/>
      <c r="H14" s="34"/>
      <c r="I14" s="548"/>
      <c r="J14" s="548"/>
      <c r="K14" s="548"/>
      <c r="L14" s="548"/>
      <c r="M14" s="548" t="s">
        <v>622</v>
      </c>
      <c r="N14" s="548"/>
      <c r="O14" s="464">
        <v>1</v>
      </c>
      <c r="P14" s="453"/>
      <c r="Q14" s="453"/>
      <c r="R14" s="453"/>
      <c r="S14" s="453"/>
      <c r="T14" s="453"/>
    </row>
    <row r="15" spans="1:39" s="19" customFormat="1" ht="65.25" x14ac:dyDescent="0.2">
      <c r="A15" s="275">
        <v>5</v>
      </c>
      <c r="B15" s="275"/>
      <c r="C15" s="625" t="s">
        <v>431</v>
      </c>
      <c r="D15" s="275" t="s">
        <v>16</v>
      </c>
      <c r="E15" s="628" t="s">
        <v>416</v>
      </c>
      <c r="F15" s="612">
        <v>450000</v>
      </c>
      <c r="G15" s="298"/>
      <c r="H15" s="298"/>
      <c r="I15" s="548"/>
      <c r="J15" s="548"/>
      <c r="K15" s="548"/>
      <c r="L15" s="548"/>
      <c r="M15" s="548" t="s">
        <v>623</v>
      </c>
      <c r="N15" s="548"/>
      <c r="O15" s="464">
        <v>1</v>
      </c>
      <c r="P15" s="453"/>
      <c r="Q15" s="453"/>
      <c r="R15" s="453"/>
      <c r="S15" s="453"/>
      <c r="T15" s="453"/>
    </row>
    <row r="16" spans="1:39" s="19" customFormat="1" ht="65.25" x14ac:dyDescent="0.2">
      <c r="A16" s="275">
        <v>6</v>
      </c>
      <c r="B16" s="275"/>
      <c r="C16" s="625" t="s">
        <v>431</v>
      </c>
      <c r="D16" s="275" t="s">
        <v>16</v>
      </c>
      <c r="E16" s="628" t="s">
        <v>417</v>
      </c>
      <c r="F16" s="612">
        <v>204000</v>
      </c>
      <c r="G16" s="298"/>
      <c r="H16" s="298"/>
      <c r="I16" s="548"/>
      <c r="J16" s="548"/>
      <c r="K16" s="548"/>
      <c r="L16" s="548"/>
      <c r="M16" s="548" t="s">
        <v>624</v>
      </c>
      <c r="N16" s="548"/>
      <c r="O16" s="464">
        <v>1</v>
      </c>
      <c r="P16" s="453"/>
      <c r="Q16" s="453"/>
      <c r="R16" s="453"/>
      <c r="S16" s="453"/>
      <c r="T16" s="453"/>
    </row>
    <row r="17" spans="1:20" s="19" customFormat="1" ht="65.25" x14ac:dyDescent="0.2">
      <c r="A17" s="275">
        <v>7</v>
      </c>
      <c r="B17" s="275"/>
      <c r="C17" s="625" t="s">
        <v>431</v>
      </c>
      <c r="D17" s="275" t="s">
        <v>16</v>
      </c>
      <c r="E17" s="628" t="s">
        <v>418</v>
      </c>
      <c r="F17" s="612">
        <v>79300</v>
      </c>
      <c r="G17" s="298"/>
      <c r="H17" s="298"/>
      <c r="I17" s="548"/>
      <c r="J17" s="548"/>
      <c r="K17" s="548"/>
      <c r="L17" s="548"/>
      <c r="M17" s="548" t="s">
        <v>625</v>
      </c>
      <c r="N17" s="548"/>
      <c r="O17" s="464">
        <v>1</v>
      </c>
      <c r="P17" s="453"/>
      <c r="Q17" s="453"/>
      <c r="R17" s="453"/>
      <c r="S17" s="453"/>
      <c r="T17" s="453"/>
    </row>
    <row r="18" spans="1:20" s="19" customFormat="1" ht="99.75" x14ac:dyDescent="0.2">
      <c r="A18" s="486">
        <v>8</v>
      </c>
      <c r="B18" s="486"/>
      <c r="C18" s="629" t="s">
        <v>432</v>
      </c>
      <c r="D18" s="486" t="s">
        <v>16</v>
      </c>
      <c r="E18" s="630" t="s">
        <v>419</v>
      </c>
      <c r="F18" s="602">
        <v>10752000</v>
      </c>
      <c r="G18" s="488"/>
      <c r="H18" s="488"/>
      <c r="I18" s="554"/>
      <c r="J18" s="548"/>
      <c r="K18" s="548"/>
      <c r="L18" s="548"/>
      <c r="M18" s="554" t="s">
        <v>626</v>
      </c>
      <c r="N18" s="554"/>
      <c r="O18" s="464">
        <v>2</v>
      </c>
      <c r="P18" s="453"/>
      <c r="Q18" s="453"/>
      <c r="R18" s="453"/>
      <c r="S18" s="453"/>
      <c r="T18" s="453"/>
    </row>
    <row r="19" spans="1:20" s="19" customFormat="1" ht="48.75" customHeight="1" x14ac:dyDescent="0.2">
      <c r="A19" s="275">
        <v>9</v>
      </c>
      <c r="B19" s="532"/>
      <c r="C19" s="625" t="s">
        <v>293</v>
      </c>
      <c r="D19" s="275" t="s">
        <v>16</v>
      </c>
      <c r="E19" s="628" t="s">
        <v>420</v>
      </c>
      <c r="F19" s="612">
        <v>230000</v>
      </c>
      <c r="G19" s="298"/>
      <c r="H19" s="298"/>
      <c r="I19" s="551" t="s">
        <v>627</v>
      </c>
      <c r="J19" s="548"/>
      <c r="K19" s="548"/>
      <c r="L19" s="548"/>
      <c r="M19" s="551" t="s">
        <v>628</v>
      </c>
      <c r="N19" s="551"/>
      <c r="O19" s="464">
        <v>1</v>
      </c>
      <c r="P19" s="453"/>
      <c r="Q19" s="453"/>
      <c r="R19" s="453"/>
      <c r="S19" s="453"/>
      <c r="T19" s="453"/>
    </row>
    <row r="20" spans="1:20" s="19" customFormat="1" ht="48.75" customHeight="1" x14ac:dyDescent="0.2">
      <c r="A20" s="275">
        <v>10</v>
      </c>
      <c r="B20" s="532"/>
      <c r="C20" s="625" t="s">
        <v>293</v>
      </c>
      <c r="D20" s="275" t="s">
        <v>16</v>
      </c>
      <c r="E20" s="628" t="s">
        <v>421</v>
      </c>
      <c r="F20" s="612">
        <v>462000</v>
      </c>
      <c r="G20" s="298"/>
      <c r="H20" s="298"/>
      <c r="I20" s="551" t="s">
        <v>627</v>
      </c>
      <c r="J20" s="548"/>
      <c r="K20" s="548"/>
      <c r="L20" s="548"/>
      <c r="M20" s="551" t="s">
        <v>620</v>
      </c>
      <c r="N20" s="551"/>
      <c r="O20" s="464">
        <v>1</v>
      </c>
      <c r="P20" s="453"/>
      <c r="Q20" s="453"/>
      <c r="R20" s="453"/>
      <c r="S20" s="453"/>
      <c r="T20" s="453"/>
    </row>
    <row r="21" spans="1:20" s="19" customFormat="1" ht="48.75" customHeight="1" x14ac:dyDescent="0.2">
      <c r="A21" s="275">
        <v>11</v>
      </c>
      <c r="B21" s="275"/>
      <c r="C21" s="625" t="s">
        <v>293</v>
      </c>
      <c r="D21" s="275" t="s">
        <v>16</v>
      </c>
      <c r="E21" s="628" t="s">
        <v>422</v>
      </c>
      <c r="F21" s="612">
        <v>136000</v>
      </c>
      <c r="G21" s="298"/>
      <c r="H21" s="298"/>
      <c r="I21" s="551" t="s">
        <v>627</v>
      </c>
      <c r="J21" s="548"/>
      <c r="K21" s="548"/>
      <c r="L21" s="548"/>
      <c r="M21" s="551" t="s">
        <v>620</v>
      </c>
      <c r="N21" s="551"/>
      <c r="O21" s="464">
        <v>1</v>
      </c>
      <c r="P21" s="453"/>
      <c r="Q21" s="453"/>
      <c r="R21" s="453"/>
      <c r="S21" s="453"/>
      <c r="T21" s="453"/>
    </row>
    <row r="22" spans="1:20" s="19" customFormat="1" ht="65.25" x14ac:dyDescent="0.2">
      <c r="A22" s="275">
        <v>12</v>
      </c>
      <c r="B22" s="275"/>
      <c r="C22" s="625" t="s">
        <v>293</v>
      </c>
      <c r="D22" s="275" t="s">
        <v>16</v>
      </c>
      <c r="E22" s="628" t="s">
        <v>423</v>
      </c>
      <c r="F22" s="612">
        <v>320000</v>
      </c>
      <c r="G22" s="298"/>
      <c r="H22" s="298"/>
      <c r="I22" s="551" t="s">
        <v>627</v>
      </c>
      <c r="J22" s="548"/>
      <c r="K22" s="548"/>
      <c r="L22" s="548"/>
      <c r="M22" s="551" t="s">
        <v>620</v>
      </c>
      <c r="N22" s="551"/>
      <c r="O22" s="464">
        <v>1</v>
      </c>
      <c r="P22" s="453"/>
      <c r="Q22" s="453"/>
      <c r="R22" s="453"/>
      <c r="S22" s="453"/>
      <c r="T22" s="453"/>
    </row>
    <row r="23" spans="1:20" s="19" customFormat="1" ht="46.5" customHeight="1" x14ac:dyDescent="0.2">
      <c r="A23" s="275">
        <v>13</v>
      </c>
      <c r="B23" s="532"/>
      <c r="C23" s="625" t="s">
        <v>293</v>
      </c>
      <c r="D23" s="275" t="s">
        <v>16</v>
      </c>
      <c r="E23" s="628" t="s">
        <v>424</v>
      </c>
      <c r="F23" s="612">
        <v>120000</v>
      </c>
      <c r="G23" s="298"/>
      <c r="H23" s="298"/>
      <c r="I23" s="551" t="s">
        <v>627</v>
      </c>
      <c r="J23" s="548"/>
      <c r="K23" s="548"/>
      <c r="L23" s="548"/>
      <c r="M23" s="551" t="s">
        <v>620</v>
      </c>
      <c r="N23" s="551"/>
      <c r="O23" s="464">
        <v>1</v>
      </c>
      <c r="P23" s="453"/>
      <c r="Q23" s="453"/>
      <c r="R23" s="453"/>
      <c r="S23" s="453"/>
      <c r="T23" s="453"/>
    </row>
    <row r="24" spans="1:20" s="19" customFormat="1" ht="44.25" customHeight="1" x14ac:dyDescent="0.2">
      <c r="A24" s="275">
        <v>14</v>
      </c>
      <c r="B24" s="275"/>
      <c r="C24" s="625" t="s">
        <v>293</v>
      </c>
      <c r="D24" s="275" t="s">
        <v>16</v>
      </c>
      <c r="E24" s="628" t="s">
        <v>425</v>
      </c>
      <c r="F24" s="612">
        <v>73000</v>
      </c>
      <c r="G24" s="298"/>
      <c r="H24" s="298"/>
      <c r="I24" s="551" t="s">
        <v>627</v>
      </c>
      <c r="J24" s="548"/>
      <c r="K24" s="548"/>
      <c r="L24" s="548"/>
      <c r="M24" s="551" t="s">
        <v>620</v>
      </c>
      <c r="N24" s="551"/>
      <c r="O24" s="464">
        <v>1</v>
      </c>
      <c r="P24" s="453"/>
      <c r="Q24" s="453"/>
      <c r="R24" s="453"/>
      <c r="S24" s="453"/>
      <c r="T24" s="453"/>
    </row>
    <row r="25" spans="1:20" s="19" customFormat="1" ht="45" x14ac:dyDescent="0.2">
      <c r="A25" s="275">
        <v>15</v>
      </c>
      <c r="B25" s="275"/>
      <c r="C25" s="625" t="s">
        <v>293</v>
      </c>
      <c r="D25" s="275" t="s">
        <v>16</v>
      </c>
      <c r="E25" s="628" t="s">
        <v>426</v>
      </c>
      <c r="F25" s="612">
        <v>523000</v>
      </c>
      <c r="G25" s="298"/>
      <c r="H25" s="298"/>
      <c r="I25" s="551" t="s">
        <v>627</v>
      </c>
      <c r="J25" s="548"/>
      <c r="K25" s="548"/>
      <c r="L25" s="548"/>
      <c r="M25" s="551" t="s">
        <v>629</v>
      </c>
      <c r="N25" s="551"/>
      <c r="O25" s="464">
        <v>1</v>
      </c>
      <c r="P25" s="453"/>
      <c r="Q25" s="453"/>
      <c r="R25" s="453"/>
      <c r="S25" s="453"/>
      <c r="T25" s="453"/>
    </row>
    <row r="26" spans="1:20" s="19" customFormat="1" ht="65.25" x14ac:dyDescent="0.2">
      <c r="A26" s="486">
        <v>16</v>
      </c>
      <c r="B26" s="486"/>
      <c r="C26" s="631" t="s">
        <v>301</v>
      </c>
      <c r="D26" s="486" t="s">
        <v>16</v>
      </c>
      <c r="E26" s="630" t="s">
        <v>428</v>
      </c>
      <c r="F26" s="602">
        <v>3584000</v>
      </c>
      <c r="G26" s="488"/>
      <c r="H26" s="488"/>
      <c r="I26" s="581"/>
      <c r="J26" s="548"/>
      <c r="K26" s="548"/>
      <c r="L26" s="548"/>
      <c r="M26" s="581" t="s">
        <v>630</v>
      </c>
      <c r="N26" s="581"/>
      <c r="O26" s="464">
        <v>2</v>
      </c>
      <c r="P26" s="453"/>
      <c r="Q26" s="453"/>
      <c r="R26" s="453"/>
      <c r="S26" s="453"/>
      <c r="T26" s="453"/>
    </row>
    <row r="27" spans="1:20" s="19" customFormat="1" ht="66" customHeight="1" x14ac:dyDescent="0.2">
      <c r="A27" s="275">
        <v>17</v>
      </c>
      <c r="B27" s="275"/>
      <c r="C27" s="625" t="s">
        <v>301</v>
      </c>
      <c r="D27" s="275" t="s">
        <v>16</v>
      </c>
      <c r="E27" s="628" t="s">
        <v>429</v>
      </c>
      <c r="F27" s="612">
        <v>1568000</v>
      </c>
      <c r="G27" s="298"/>
      <c r="H27" s="298"/>
      <c r="I27" s="551"/>
      <c r="J27" s="548"/>
      <c r="K27" s="548"/>
      <c r="L27" s="548"/>
      <c r="M27" s="551" t="s">
        <v>631</v>
      </c>
      <c r="N27" s="551"/>
      <c r="O27" s="464">
        <v>1</v>
      </c>
      <c r="P27" s="453"/>
      <c r="Q27" s="453"/>
      <c r="R27" s="453"/>
      <c r="S27" s="453"/>
      <c r="T27" s="453"/>
    </row>
    <row r="28" spans="1:20" s="9" customFormat="1" ht="21.75" customHeight="1" x14ac:dyDescent="0.2">
      <c r="A28" s="6"/>
      <c r="B28" s="13"/>
      <c r="C28" s="13"/>
      <c r="D28" s="13"/>
      <c r="E28" s="7"/>
      <c r="F28" s="334"/>
      <c r="G28" s="11"/>
      <c r="H28" s="11"/>
      <c r="I28" s="257"/>
      <c r="J28" s="11"/>
      <c r="K28" s="10"/>
      <c r="L28" s="10"/>
      <c r="M28" s="257"/>
      <c r="N28" s="257"/>
      <c r="O28" s="445"/>
      <c r="P28" s="437"/>
      <c r="Q28" s="437"/>
      <c r="R28" s="437"/>
      <c r="S28" s="437"/>
      <c r="T28" s="437"/>
    </row>
    <row r="29" spans="1:20" s="14" customFormat="1" x14ac:dyDescent="0.5">
      <c r="A29" s="241">
        <f>+A27</f>
        <v>17</v>
      </c>
      <c r="B29" s="241"/>
      <c r="C29" s="241"/>
      <c r="D29" s="241"/>
      <c r="E29" s="242" t="s">
        <v>47</v>
      </c>
      <c r="F29" s="329">
        <f>SUM(F11:F28)</f>
        <v>32845300</v>
      </c>
      <c r="G29" s="243">
        <f>SUM(G28:G28)</f>
        <v>0</v>
      </c>
      <c r="H29" s="243"/>
      <c r="I29" s="243"/>
      <c r="J29" s="243">
        <f>SUM(J28:J28)</f>
        <v>0</v>
      </c>
      <c r="K29" s="243">
        <f>SUM(K28:K28)</f>
        <v>0</v>
      </c>
      <c r="L29" s="243">
        <f>SUM(L28:L28)</f>
        <v>0</v>
      </c>
      <c r="M29" s="243"/>
      <c r="N29" s="243"/>
      <c r="O29" s="449"/>
      <c r="P29" s="450">
        <f>+F29+G29</f>
        <v>32845300</v>
      </c>
      <c r="Q29" s="451"/>
      <c r="R29" s="451"/>
      <c r="S29" s="452"/>
      <c r="T29" s="452"/>
    </row>
    <row r="30" spans="1:20" s="19" customFormat="1" x14ac:dyDescent="0.2">
      <c r="A30" s="17"/>
      <c r="B30" s="17"/>
      <c r="C30" s="17"/>
      <c r="D30" s="17"/>
      <c r="E30" s="30" t="s">
        <v>10</v>
      </c>
      <c r="F30" s="336"/>
      <c r="G30" s="34"/>
      <c r="H30" s="34"/>
      <c r="I30" s="257"/>
      <c r="J30" s="34"/>
      <c r="K30" s="18"/>
      <c r="L30" s="18"/>
      <c r="M30" s="257"/>
      <c r="N30" s="257"/>
      <c r="O30" s="445"/>
      <c r="P30" s="453"/>
      <c r="Q30" s="453"/>
      <c r="R30" s="453"/>
      <c r="S30" s="453"/>
      <c r="T30" s="453"/>
    </row>
    <row r="31" spans="1:20" s="19" customFormat="1" ht="87" x14ac:dyDescent="0.2">
      <c r="A31" s="486">
        <v>1</v>
      </c>
      <c r="B31" s="486"/>
      <c r="C31" s="631" t="s">
        <v>414</v>
      </c>
      <c r="D31" s="486" t="s">
        <v>435</v>
      </c>
      <c r="E31" s="630" t="s">
        <v>434</v>
      </c>
      <c r="F31" s="602">
        <v>8817000</v>
      </c>
      <c r="G31" s="488"/>
      <c r="H31" s="488"/>
      <c r="I31" s="554"/>
      <c r="J31" s="546"/>
      <c r="K31" s="547"/>
      <c r="L31" s="547"/>
      <c r="M31" s="554" t="s">
        <v>632</v>
      </c>
      <c r="N31" s="554"/>
      <c r="O31" s="464">
        <v>2</v>
      </c>
      <c r="P31" s="453"/>
      <c r="Q31" s="453"/>
      <c r="R31" s="453"/>
      <c r="S31" s="453"/>
      <c r="T31" s="453"/>
    </row>
    <row r="32" spans="1:20" s="9" customFormat="1" ht="23.25" customHeight="1" x14ac:dyDescent="0.2">
      <c r="A32" s="271"/>
      <c r="B32" s="271"/>
      <c r="C32" s="271"/>
      <c r="D32" s="271"/>
      <c r="E32" s="357"/>
      <c r="F32" s="337"/>
      <c r="G32" s="269"/>
      <c r="H32" s="269"/>
      <c r="I32" s="269"/>
      <c r="J32" s="11"/>
      <c r="K32" s="10"/>
      <c r="L32" s="10"/>
      <c r="M32" s="269"/>
      <c r="N32" s="269"/>
      <c r="O32" s="445"/>
      <c r="P32" s="437"/>
      <c r="Q32" s="437"/>
      <c r="R32" s="437"/>
      <c r="S32" s="437"/>
      <c r="T32" s="437"/>
    </row>
    <row r="33" spans="1:47" s="19" customFormat="1" ht="22.5" thickBot="1" x14ac:dyDescent="0.55000000000000004">
      <c r="A33" s="244">
        <f>+A31</f>
        <v>1</v>
      </c>
      <c r="B33" s="244"/>
      <c r="C33" s="244"/>
      <c r="D33" s="244"/>
      <c r="E33" s="245" t="s">
        <v>33</v>
      </c>
      <c r="F33" s="330">
        <f>SUM(F31:F32)</f>
        <v>8817000</v>
      </c>
      <c r="G33" s="246">
        <f>SUM(G32:G32)</f>
        <v>0</v>
      </c>
      <c r="H33" s="246"/>
      <c r="I33" s="246"/>
      <c r="J33" s="246">
        <f>SUM(J32:J32)</f>
        <v>0</v>
      </c>
      <c r="K33" s="246">
        <f>SUM(K32:K32)</f>
        <v>0</v>
      </c>
      <c r="L33" s="246">
        <f>SUM(L32:L32)</f>
        <v>0</v>
      </c>
      <c r="M33" s="246"/>
      <c r="N33" s="246"/>
      <c r="O33" s="443"/>
      <c r="P33" s="455">
        <f>+F33+G33</f>
        <v>8817000</v>
      </c>
      <c r="Q33" s="451"/>
      <c r="R33" s="451"/>
      <c r="S33" s="453"/>
      <c r="T33" s="453"/>
    </row>
    <row r="34" spans="1:47" s="28" customFormat="1" ht="22.5" thickBot="1" x14ac:dyDescent="0.55000000000000004">
      <c r="A34" s="247">
        <f>+A29+A33</f>
        <v>18</v>
      </c>
      <c r="B34" s="248"/>
      <c r="C34" s="248"/>
      <c r="D34" s="248"/>
      <c r="E34" s="248" t="s">
        <v>193</v>
      </c>
      <c r="F34" s="331">
        <f>F29+F33</f>
        <v>41662300</v>
      </c>
      <c r="G34" s="249">
        <f>+G29+G33</f>
        <v>0</v>
      </c>
      <c r="H34" s="249"/>
      <c r="I34" s="249"/>
      <c r="J34" s="249">
        <f>J29+J33</f>
        <v>0</v>
      </c>
      <c r="K34" s="249">
        <f>K29+K33</f>
        <v>0</v>
      </c>
      <c r="L34" s="249">
        <f>L29+L33</f>
        <v>0</v>
      </c>
      <c r="M34" s="249"/>
      <c r="N34" s="249"/>
      <c r="O34" s="456"/>
      <c r="P34" s="436">
        <f>+P29+P33</f>
        <v>41662300</v>
      </c>
      <c r="Q34" s="457"/>
      <c r="R34" s="457"/>
      <c r="S34" s="434"/>
      <c r="T34" s="434"/>
      <c r="U34" s="2"/>
      <c r="V34" s="2"/>
      <c r="W34" s="2"/>
      <c r="X34" s="2"/>
      <c r="Y34" s="2"/>
      <c r="Z34" s="2"/>
      <c r="AA34" s="2"/>
      <c r="AB34" s="2"/>
    </row>
    <row r="35" spans="1:47" s="9" customFormat="1" x14ac:dyDescent="0.2">
      <c r="A35" s="15"/>
      <c r="B35" s="15"/>
      <c r="C35" s="15"/>
      <c r="D35" s="15"/>
      <c r="E35" s="31"/>
      <c r="F35" s="21"/>
      <c r="G35" s="20"/>
      <c r="H35" s="20"/>
      <c r="I35" s="20"/>
      <c r="J35" s="20"/>
      <c r="K35" s="104"/>
      <c r="L35" s="104"/>
      <c r="M35" s="20"/>
      <c r="N35" s="20"/>
      <c r="O35" s="445"/>
      <c r="P35" s="437"/>
      <c r="Q35" s="437"/>
      <c r="R35" s="437"/>
      <c r="S35" s="437"/>
      <c r="T35" s="437"/>
    </row>
    <row r="36" spans="1:47" s="9" customFormat="1" x14ac:dyDescent="0.2">
      <c r="A36" s="15"/>
      <c r="B36" s="15"/>
      <c r="C36" s="15"/>
      <c r="D36" s="15"/>
      <c r="E36" s="31"/>
      <c r="F36" s="21"/>
      <c r="G36" s="20"/>
      <c r="H36" s="20"/>
      <c r="I36" s="20"/>
      <c r="J36" s="20"/>
      <c r="K36" s="104"/>
      <c r="L36" s="104"/>
      <c r="M36" s="20"/>
      <c r="N36" s="20"/>
      <c r="O36" s="445"/>
      <c r="P36" s="437"/>
      <c r="Q36" s="437"/>
      <c r="R36" s="437"/>
      <c r="S36" s="437"/>
      <c r="T36" s="437"/>
    </row>
    <row r="37" spans="1:47" s="9" customFormat="1" x14ac:dyDescent="0.2">
      <c r="A37" s="15"/>
      <c r="B37" s="15"/>
      <c r="C37" s="15"/>
      <c r="D37" s="15"/>
      <c r="E37" s="31"/>
      <c r="F37" s="21"/>
      <c r="G37" s="20"/>
      <c r="H37" s="20"/>
      <c r="I37" s="20"/>
      <c r="J37" s="20"/>
      <c r="K37" s="104"/>
      <c r="L37" s="104"/>
      <c r="M37" s="20"/>
      <c r="N37" s="20"/>
      <c r="O37" s="445"/>
      <c r="P37" s="437"/>
      <c r="Q37" s="437"/>
      <c r="R37" s="437"/>
      <c r="S37" s="437"/>
      <c r="T37" s="437"/>
    </row>
    <row r="38" spans="1:47" s="9" customFormat="1" x14ac:dyDescent="0.5">
      <c r="A38" s="15"/>
      <c r="B38" s="15"/>
      <c r="C38" s="15"/>
      <c r="D38" s="15"/>
      <c r="E38" s="31"/>
      <c r="F38" s="35"/>
      <c r="G38" s="20"/>
      <c r="H38" s="20"/>
      <c r="I38" s="20"/>
      <c r="J38" s="20"/>
      <c r="K38" s="104"/>
      <c r="L38" s="104"/>
      <c r="M38" s="20"/>
      <c r="N38" s="20"/>
      <c r="O38" s="445"/>
      <c r="P38" s="437"/>
      <c r="Q38" s="437"/>
      <c r="R38" s="437"/>
      <c r="S38" s="437"/>
      <c r="T38" s="437"/>
    </row>
    <row r="40" spans="1:47" s="23" customFormat="1" ht="22.5" thickBot="1" x14ac:dyDescent="0.55000000000000004">
      <c r="A40" s="22"/>
      <c r="B40" s="22"/>
      <c r="C40" s="22"/>
      <c r="D40" s="22"/>
      <c r="E40" s="81" t="s">
        <v>99</v>
      </c>
      <c r="F40" s="82"/>
      <c r="G40" s="238"/>
      <c r="H40" s="125"/>
      <c r="I40" s="125"/>
      <c r="J40" s="125"/>
      <c r="K40" s="190"/>
      <c r="L40" s="190"/>
      <c r="M40" s="125"/>
      <c r="N40" s="125"/>
      <c r="O40" s="441"/>
      <c r="P40" s="434"/>
      <c r="Q40" s="434"/>
      <c r="R40" s="434"/>
      <c r="S40" s="434"/>
      <c r="T40" s="43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</row>
    <row r="41" spans="1:47" s="23" customFormat="1" ht="22.5" thickTop="1" x14ac:dyDescent="0.5">
      <c r="A41" s="22"/>
      <c r="B41" s="22"/>
      <c r="C41" s="22"/>
      <c r="D41" s="22"/>
      <c r="E41" s="23" t="s">
        <v>25</v>
      </c>
      <c r="F41" s="25"/>
      <c r="G41" s="107"/>
      <c r="H41" s="107"/>
      <c r="I41" s="107"/>
      <c r="J41" s="107"/>
      <c r="K41" s="190"/>
      <c r="L41" s="190"/>
      <c r="M41" s="107"/>
      <c r="N41" s="107"/>
      <c r="O41" s="441"/>
      <c r="P41" s="434"/>
      <c r="Q41" s="434"/>
      <c r="R41" s="434"/>
      <c r="S41" s="434"/>
      <c r="T41" s="43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</row>
    <row r="42" spans="1:47" s="23" customFormat="1" x14ac:dyDescent="0.5">
      <c r="A42" s="22"/>
      <c r="B42" s="22"/>
      <c r="C42" s="22"/>
      <c r="D42" s="22"/>
      <c r="E42" s="23" t="s">
        <v>98</v>
      </c>
      <c r="F42" s="25"/>
      <c r="G42" s="107"/>
      <c r="H42" s="107"/>
      <c r="I42" s="107"/>
      <c r="J42" s="107"/>
      <c r="K42" s="190"/>
      <c r="L42" s="190"/>
      <c r="M42" s="107"/>
      <c r="N42" s="107"/>
      <c r="O42" s="441"/>
      <c r="P42" s="434"/>
      <c r="Q42" s="434"/>
      <c r="R42" s="434"/>
      <c r="S42" s="434"/>
      <c r="T42" s="43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</row>
    <row r="43" spans="1:47" s="23" customFormat="1" x14ac:dyDescent="0.5">
      <c r="A43" s="22"/>
      <c r="B43" s="22"/>
      <c r="C43" s="22"/>
      <c r="D43" s="22"/>
      <c r="E43" s="23" t="s">
        <v>18</v>
      </c>
      <c r="F43" s="25"/>
      <c r="G43" s="107"/>
      <c r="H43" s="107"/>
      <c r="I43" s="107"/>
      <c r="J43" s="107"/>
      <c r="K43" s="190"/>
      <c r="L43" s="190"/>
      <c r="M43" s="107"/>
      <c r="N43" s="107"/>
      <c r="O43" s="441"/>
      <c r="P43" s="434"/>
      <c r="Q43" s="434"/>
      <c r="R43" s="434"/>
      <c r="S43" s="434"/>
      <c r="T43" s="43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</row>
  </sheetData>
  <autoFilter ref="O1:O43"/>
  <mergeCells count="21">
    <mergeCell ref="B5:B8"/>
    <mergeCell ref="G6:G8"/>
    <mergeCell ref="D5:D8"/>
    <mergeCell ref="F5:H5"/>
    <mergeCell ref="H6:H8"/>
    <mergeCell ref="A1:N1"/>
    <mergeCell ref="A2:N2"/>
    <mergeCell ref="A3:N3"/>
    <mergeCell ref="Q5:Q8"/>
    <mergeCell ref="R5:R8"/>
    <mergeCell ref="F4:G4"/>
    <mergeCell ref="E5:E8"/>
    <mergeCell ref="J5:J8"/>
    <mergeCell ref="F6:F8"/>
    <mergeCell ref="I5:I8"/>
    <mergeCell ref="M5:M8"/>
    <mergeCell ref="K5:K8"/>
    <mergeCell ref="L5:L8"/>
    <mergeCell ref="N5:N8"/>
    <mergeCell ref="C5:C8"/>
    <mergeCell ref="A5:A8"/>
  </mergeCells>
  <phoneticPr fontId="2" type="noConversion"/>
  <conditionalFormatting sqref="F12 F14:F27">
    <cfRule type="cellIs" dxfId="72" priority="5" stopIfTrue="1" operator="between">
      <formula>2000001</formula>
      <formula>500000000</formula>
    </cfRule>
  </conditionalFormatting>
  <conditionalFormatting sqref="F11">
    <cfRule type="cellIs" dxfId="71" priority="4" stopIfTrue="1" operator="between">
      <formula>2000001</formula>
      <formula>500000000</formula>
    </cfRule>
  </conditionalFormatting>
  <conditionalFormatting sqref="F13">
    <cfRule type="cellIs" dxfId="70" priority="3" stopIfTrue="1" operator="between">
      <formula>2000001</formula>
      <formula>500000000</formula>
    </cfRule>
  </conditionalFormatting>
  <conditionalFormatting sqref="F31">
    <cfRule type="cellIs" dxfId="69" priority="1" stopIfTrue="1" operator="between">
      <formula>2000001</formula>
      <formula>500000000</formula>
    </cfRule>
  </conditionalFormatting>
  <pageMargins left="0.55118110236220474" right="0.55118110236220474" top="0.23622047244094491" bottom="0.23622047244094491" header="0.15748031496062992" footer="0.15748031496062992"/>
  <pageSetup paperSize="9" scale="85" orientation="landscape" blackAndWhite="1" r:id="rId1"/>
  <headerFooter alignWithMargins="0"/>
  <rowBreaks count="1" manualBreakCount="1">
    <brk id="34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"/>
  <sheetViews>
    <sheetView view="pageBreakPreview" zoomScaleNormal="100" zoomScaleSheetLayoutView="100" workbookViewId="0">
      <selection activeCell="G16" sqref="G16:H16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8" width="15.42578125" style="106" customWidth="1"/>
    <col min="9" max="9" width="44.28515625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19.5703125" style="2" bestFit="1" customWidth="1"/>
    <col min="14" max="25" width="9.140625" style="2"/>
    <col min="26" max="16384" width="9.140625" style="1"/>
  </cols>
  <sheetData>
    <row r="1" spans="1:36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5">
      <c r="A3" s="775" t="s">
        <v>149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6" x14ac:dyDescent="0.5">
      <c r="A4" s="1"/>
      <c r="B4" s="1"/>
      <c r="C4" s="1"/>
      <c r="D4" s="1"/>
      <c r="F4" s="781"/>
      <c r="G4" s="781"/>
      <c r="H4" s="3"/>
      <c r="I4" s="3"/>
      <c r="J4" s="5"/>
      <c r="N4" s="239"/>
      <c r="O4" s="239"/>
    </row>
    <row r="5" spans="1:36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211</v>
      </c>
      <c r="J5" s="767" t="s">
        <v>122</v>
      </c>
      <c r="K5" s="767" t="s">
        <v>121</v>
      </c>
      <c r="L5" s="776" t="s">
        <v>123</v>
      </c>
      <c r="N5" s="766" t="s">
        <v>142</v>
      </c>
      <c r="O5" s="766" t="s">
        <v>150</v>
      </c>
    </row>
    <row r="6" spans="1:36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N6" s="766"/>
      <c r="O6" s="766"/>
    </row>
    <row r="7" spans="1:36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N7" s="766"/>
      <c r="O7" s="766"/>
    </row>
    <row r="8" spans="1:36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N8" s="766"/>
      <c r="O8" s="766"/>
    </row>
    <row r="9" spans="1:36" x14ac:dyDescent="0.5">
      <c r="A9" s="12"/>
      <c r="B9" s="12"/>
      <c r="C9" s="12"/>
      <c r="D9" s="12"/>
      <c r="E9" s="32" t="s">
        <v>104</v>
      </c>
      <c r="F9" s="12"/>
      <c r="G9" s="105"/>
      <c r="H9" s="105"/>
      <c r="I9" s="105"/>
      <c r="J9" s="105"/>
      <c r="K9" s="189"/>
      <c r="L9" s="189"/>
    </row>
    <row r="10" spans="1:36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</row>
    <row r="11" spans="1:36" s="9" customFormat="1" x14ac:dyDescent="0.2">
      <c r="A11" s="6"/>
      <c r="B11" s="13"/>
      <c r="C11" s="13"/>
      <c r="D11" s="13"/>
      <c r="E11" s="332"/>
      <c r="F11" s="334"/>
      <c r="G11" s="11"/>
      <c r="H11" s="11"/>
      <c r="I11" s="11"/>
      <c r="J11" s="11"/>
      <c r="K11" s="10"/>
      <c r="L11" s="10"/>
    </row>
    <row r="12" spans="1:36" s="14" customFormat="1" x14ac:dyDescent="0.5">
      <c r="A12" s="241">
        <f>+A11</f>
        <v>0</v>
      </c>
      <c r="B12" s="241"/>
      <c r="C12" s="241"/>
      <c r="D12" s="241"/>
      <c r="E12" s="242" t="s">
        <v>47</v>
      </c>
      <c r="F12" s="329">
        <f>SUM(F11:F11)</f>
        <v>0</v>
      </c>
      <c r="G12" s="243">
        <f>SUM(G11:G11)</f>
        <v>0</v>
      </c>
      <c r="H12" s="243">
        <f>SUM(H11:H11)</f>
        <v>0</v>
      </c>
      <c r="I12" s="243"/>
      <c r="J12" s="243">
        <f>SUM(J11:J11)</f>
        <v>0</v>
      </c>
      <c r="K12" s="243">
        <f>SUM(K11:K11)</f>
        <v>0</v>
      </c>
      <c r="L12" s="243">
        <f>SUM(L11:L11)</f>
        <v>0</v>
      </c>
      <c r="M12" s="144">
        <f>+F12+G12</f>
        <v>0</v>
      </c>
      <c r="N12" s="240"/>
      <c r="O12" s="240"/>
    </row>
    <row r="13" spans="1:36" s="19" customFormat="1" x14ac:dyDescent="0.2">
      <c r="A13" s="17"/>
      <c r="B13" s="17"/>
      <c r="C13" s="17"/>
      <c r="D13" s="17"/>
      <c r="E13" s="30" t="s">
        <v>10</v>
      </c>
      <c r="F13" s="336"/>
      <c r="G13" s="34"/>
      <c r="H13" s="34"/>
      <c r="I13" s="34"/>
      <c r="J13" s="34"/>
      <c r="K13" s="18"/>
      <c r="L13" s="18"/>
    </row>
    <row r="14" spans="1:36" s="9" customFormat="1" x14ac:dyDescent="0.2">
      <c r="A14" s="6"/>
      <c r="B14" s="6"/>
      <c r="C14" s="6"/>
      <c r="D14" s="6"/>
      <c r="E14" s="7"/>
      <c r="F14" s="335"/>
      <c r="G14" s="11"/>
      <c r="H14" s="11"/>
      <c r="I14" s="11"/>
      <c r="J14" s="11"/>
      <c r="K14" s="10"/>
      <c r="L14" s="10"/>
    </row>
    <row r="15" spans="1:36" s="19" customFormat="1" ht="22.5" thickBot="1" x14ac:dyDescent="0.55000000000000004">
      <c r="A15" s="244">
        <f>+A14</f>
        <v>0</v>
      </c>
      <c r="B15" s="244"/>
      <c r="C15" s="244"/>
      <c r="D15" s="244"/>
      <c r="E15" s="245" t="s">
        <v>33</v>
      </c>
      <c r="F15" s="330">
        <f>SUM(F14:F14)</f>
        <v>0</v>
      </c>
      <c r="G15" s="246">
        <f>SUM(G14:G14)</f>
        <v>0</v>
      </c>
      <c r="H15" s="246">
        <f>SUM(H14:H14)</f>
        <v>0</v>
      </c>
      <c r="I15" s="246"/>
      <c r="J15" s="246">
        <f>SUM(J14:J14)</f>
        <v>0</v>
      </c>
      <c r="K15" s="246">
        <f>SUM(K14:K14)</f>
        <v>0</v>
      </c>
      <c r="L15" s="246">
        <f>SUM(L14:L14)</f>
        <v>0</v>
      </c>
      <c r="M15" s="145">
        <f>+F15+G15</f>
        <v>0</v>
      </c>
      <c r="N15" s="240"/>
      <c r="O15" s="240"/>
    </row>
    <row r="16" spans="1:36" s="28" customFormat="1" ht="22.5" thickBot="1" x14ac:dyDescent="0.55000000000000004">
      <c r="A16" s="247">
        <f>+A12+A15</f>
        <v>0</v>
      </c>
      <c r="B16" s="248"/>
      <c r="C16" s="248"/>
      <c r="D16" s="248"/>
      <c r="E16" s="248" t="s">
        <v>194</v>
      </c>
      <c r="F16" s="331">
        <f>F12+F15</f>
        <v>0</v>
      </c>
      <c r="G16" s="249">
        <f>+G12+G15</f>
        <v>0</v>
      </c>
      <c r="H16" s="249">
        <f>+H12+H15</f>
        <v>0</v>
      </c>
      <c r="I16" s="249"/>
      <c r="J16" s="249">
        <f>J12+J15</f>
        <v>0</v>
      </c>
      <c r="K16" s="249">
        <f>K12+K15</f>
        <v>0</v>
      </c>
      <c r="L16" s="249">
        <f>L12+L15</f>
        <v>0</v>
      </c>
      <c r="M16" s="146">
        <f>+M12+M15</f>
        <v>0</v>
      </c>
      <c r="N16" s="250"/>
      <c r="O16" s="250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44" s="9" customFormat="1" x14ac:dyDescent="0.2">
      <c r="A17" s="15"/>
      <c r="B17" s="15"/>
      <c r="C17" s="15"/>
      <c r="D17" s="15"/>
      <c r="E17" s="31"/>
      <c r="F17" s="21"/>
      <c r="G17" s="20"/>
      <c r="H17" s="20"/>
      <c r="I17" s="20"/>
      <c r="J17" s="20"/>
      <c r="K17" s="104"/>
      <c r="L17" s="104"/>
    </row>
    <row r="18" spans="1:44" s="9" customFormat="1" x14ac:dyDescent="0.5">
      <c r="A18" s="15"/>
      <c r="B18" s="15"/>
      <c r="C18" s="15"/>
      <c r="D18" s="15"/>
      <c r="E18" s="31"/>
      <c r="F18" s="35"/>
      <c r="G18" s="20"/>
      <c r="H18" s="20"/>
      <c r="I18" s="20"/>
      <c r="J18" s="20"/>
      <c r="K18" s="104"/>
      <c r="L18" s="104"/>
    </row>
    <row r="20" spans="1:44" s="23" customFormat="1" ht="22.5" thickBot="1" x14ac:dyDescent="0.55000000000000004">
      <c r="A20" s="22"/>
      <c r="B20" s="22"/>
      <c r="C20" s="22"/>
      <c r="D20" s="22"/>
      <c r="E20" s="81" t="s">
        <v>99</v>
      </c>
      <c r="F20" s="82"/>
      <c r="G20" s="238"/>
      <c r="H20" s="125"/>
      <c r="I20" s="125"/>
      <c r="J20" s="125"/>
      <c r="K20" s="190"/>
      <c r="L20" s="190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4" s="23" customFormat="1" ht="22.5" thickTop="1" x14ac:dyDescent="0.5">
      <c r="A21" s="22"/>
      <c r="B21" s="22"/>
      <c r="C21" s="22"/>
      <c r="D21" s="22"/>
      <c r="E21" s="23" t="s">
        <v>25</v>
      </c>
      <c r="F21" s="25"/>
      <c r="G21" s="107"/>
      <c r="H21" s="107"/>
      <c r="I21" s="107"/>
      <c r="J21" s="107"/>
      <c r="K21" s="190"/>
      <c r="L21" s="190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s="23" customFormat="1" x14ac:dyDescent="0.5">
      <c r="A22" s="22"/>
      <c r="B22" s="22"/>
      <c r="C22" s="22"/>
      <c r="D22" s="22"/>
      <c r="E22" s="23" t="s">
        <v>98</v>
      </c>
      <c r="F22" s="25"/>
      <c r="G22" s="107"/>
      <c r="H22" s="107"/>
      <c r="I22" s="107"/>
      <c r="J22" s="107"/>
      <c r="K22" s="190"/>
      <c r="L22" s="190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spans="1:44" s="23" customFormat="1" x14ac:dyDescent="0.5">
      <c r="A23" s="22"/>
      <c r="B23" s="22"/>
      <c r="C23" s="22"/>
      <c r="D23" s="22"/>
      <c r="E23" s="23" t="s">
        <v>18</v>
      </c>
      <c r="F23" s="25"/>
      <c r="G23" s="107"/>
      <c r="H23" s="107"/>
      <c r="I23" s="107"/>
      <c r="J23" s="107"/>
      <c r="K23" s="190"/>
      <c r="L23" s="190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</sheetData>
  <mergeCells count="19">
    <mergeCell ref="A1:L1"/>
    <mergeCell ref="A2:L2"/>
    <mergeCell ref="A3:L3"/>
    <mergeCell ref="A5:A8"/>
    <mergeCell ref="B5:B8"/>
    <mergeCell ref="D5:D8"/>
    <mergeCell ref="J5:J8"/>
    <mergeCell ref="E5:E8"/>
    <mergeCell ref="F6:F8"/>
    <mergeCell ref="F4:G4"/>
    <mergeCell ref="G6:G8"/>
    <mergeCell ref="I5:I8"/>
    <mergeCell ref="F5:H5"/>
    <mergeCell ref="H6:H8"/>
    <mergeCell ref="N5:N8"/>
    <mergeCell ref="O5:O8"/>
    <mergeCell ref="K5:K8"/>
    <mergeCell ref="L5:L8"/>
    <mergeCell ref="C5:C8"/>
  </mergeCells>
  <pageMargins left="0.70866141732283472" right="0.70866141732283472" top="0.74803149606299213" bottom="0.74803149606299213" header="0.31496062992125984" footer="0.31496062992125984"/>
  <pageSetup paperSize="9" scale="90" orientation="landscape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65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42578125" style="3" customWidth="1"/>
    <col min="5" max="5" width="43" style="1" customWidth="1"/>
    <col min="6" max="6" width="14.5703125" style="4" customWidth="1"/>
    <col min="7" max="7" width="13.140625" style="106" customWidth="1"/>
    <col min="8" max="8" width="13.140625" style="106" hidden="1" customWidth="1"/>
    <col min="9" max="9" width="35.140625" style="106" hidden="1" customWidth="1"/>
    <col min="10" max="10" width="14.7109375" style="106" hidden="1" customWidth="1"/>
    <col min="11" max="11" width="14.7109375" style="156" hidden="1" customWidth="1"/>
    <col min="12" max="12" width="19.5703125" style="156" hidden="1" customWidth="1"/>
    <col min="13" max="14" width="36.42578125" style="106" customWidth="1"/>
    <col min="15" max="15" width="5.7109375" style="441" customWidth="1"/>
    <col min="16" max="16" width="19.5703125" style="434" bestFit="1" customWidth="1"/>
    <col min="17" max="17" width="9.140625" style="434"/>
    <col min="18" max="18" width="14.5703125" style="434" bestFit="1" customWidth="1"/>
    <col min="19" max="20" width="9.140625" style="434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0"/>
      <c r="P2" s="435" t="s">
        <v>522</v>
      </c>
      <c r="Q2" s="434">
        <v>9</v>
      </c>
      <c r="R2" s="436" t="e">
        <f>+#REF!+#REF!+#REF!+#REF!+#REF!+#REF!+#REF!+#REF!+#REF!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0"/>
      <c r="P3" s="437" t="s">
        <v>523</v>
      </c>
      <c r="Q3" s="438">
        <v>18</v>
      </c>
      <c r="R3" s="439" t="e">
        <f>+#REF!+#REF!+#REF!+#REF!+#REF!+#REF!+#REF!+#REF!+#REF!+#REF!+#REF!+#REF!+#REF!+#REF!+#REF!+#REF!+#REF!+#REF!</f>
        <v>#REF!</v>
      </c>
      <c r="S3" s="440" t="s">
        <v>209</v>
      </c>
      <c r="T3" s="439" t="s">
        <v>209</v>
      </c>
      <c r="U3" s="1"/>
      <c r="V3" s="1"/>
      <c r="W3" s="1"/>
      <c r="X3" s="1"/>
      <c r="Y3" s="1"/>
      <c r="Z3" s="1"/>
      <c r="AA3" s="1"/>
      <c r="AB3" s="1"/>
    </row>
    <row r="4" spans="1:39" ht="23.25" customHeight="1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525</v>
      </c>
      <c r="Q4" s="442">
        <v>1</v>
      </c>
      <c r="R4" s="461" t="e">
        <f>+#REF!</f>
        <v>#REF!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x14ac:dyDescent="0.5">
      <c r="A9" s="12"/>
      <c r="B9" s="12"/>
      <c r="C9" s="12"/>
      <c r="D9" s="12"/>
      <c r="E9" s="32" t="s">
        <v>105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65.25" x14ac:dyDescent="0.2">
      <c r="A11" s="485">
        <v>1</v>
      </c>
      <c r="B11" s="485"/>
      <c r="C11" s="558" t="s">
        <v>276</v>
      </c>
      <c r="D11" s="486" t="s">
        <v>105</v>
      </c>
      <c r="E11" s="530" t="s">
        <v>281</v>
      </c>
      <c r="F11" s="531">
        <v>6000000</v>
      </c>
      <c r="G11" s="488"/>
      <c r="H11" s="488"/>
      <c r="I11" s="634" t="s">
        <v>633</v>
      </c>
      <c r="J11" s="548"/>
      <c r="K11" s="548"/>
      <c r="L11" s="548"/>
      <c r="M11" s="634" t="s">
        <v>634</v>
      </c>
      <c r="N11" s="634"/>
      <c r="O11" s="469">
        <v>2</v>
      </c>
      <c r="P11" s="453"/>
      <c r="Q11" s="453"/>
      <c r="R11" s="453"/>
      <c r="S11" s="453"/>
      <c r="T11" s="453"/>
    </row>
    <row r="12" spans="1:39" s="19" customFormat="1" ht="45" x14ac:dyDescent="0.2">
      <c r="A12" s="485">
        <v>2</v>
      </c>
      <c r="B12" s="485"/>
      <c r="C12" s="558" t="s">
        <v>276</v>
      </c>
      <c r="D12" s="486" t="s">
        <v>105</v>
      </c>
      <c r="E12" s="530" t="s">
        <v>285</v>
      </c>
      <c r="F12" s="531">
        <v>5000000</v>
      </c>
      <c r="G12" s="488"/>
      <c r="H12" s="488"/>
      <c r="I12" s="634" t="s">
        <v>635</v>
      </c>
      <c r="J12" s="548"/>
      <c r="K12" s="548"/>
      <c r="L12" s="548"/>
      <c r="M12" s="634" t="s">
        <v>636</v>
      </c>
      <c r="N12" s="634"/>
      <c r="O12" s="469">
        <v>2</v>
      </c>
      <c r="P12" s="453"/>
      <c r="Q12" s="453"/>
      <c r="R12" s="453"/>
      <c r="S12" s="453"/>
      <c r="T12" s="453"/>
    </row>
    <row r="13" spans="1:39" s="19" customFormat="1" ht="45" x14ac:dyDescent="0.2">
      <c r="A13" s="485">
        <v>3</v>
      </c>
      <c r="B13" s="485"/>
      <c r="C13" s="558" t="s">
        <v>276</v>
      </c>
      <c r="D13" s="486" t="s">
        <v>105</v>
      </c>
      <c r="E13" s="530" t="s">
        <v>284</v>
      </c>
      <c r="F13" s="531">
        <v>5336000</v>
      </c>
      <c r="G13" s="488"/>
      <c r="H13" s="488"/>
      <c r="I13" s="634" t="s">
        <v>633</v>
      </c>
      <c r="J13" s="548"/>
      <c r="K13" s="548"/>
      <c r="L13" s="548"/>
      <c r="M13" s="634" t="s">
        <v>634</v>
      </c>
      <c r="N13" s="634"/>
      <c r="O13" s="469">
        <v>2</v>
      </c>
      <c r="P13" s="453"/>
      <c r="Q13" s="453"/>
      <c r="R13" s="453"/>
      <c r="S13" s="453"/>
      <c r="T13" s="453"/>
    </row>
    <row r="14" spans="1:39" s="19" customFormat="1" ht="45" x14ac:dyDescent="0.2">
      <c r="A14" s="485">
        <v>4</v>
      </c>
      <c r="B14" s="485"/>
      <c r="C14" s="558" t="s">
        <v>276</v>
      </c>
      <c r="D14" s="486" t="s">
        <v>105</v>
      </c>
      <c r="E14" s="530" t="s">
        <v>286</v>
      </c>
      <c r="F14" s="531">
        <v>10000000</v>
      </c>
      <c r="G14" s="488"/>
      <c r="H14" s="488"/>
      <c r="I14" s="634" t="s">
        <v>633</v>
      </c>
      <c r="J14" s="548"/>
      <c r="K14" s="548"/>
      <c r="L14" s="548"/>
      <c r="M14" s="634" t="s">
        <v>634</v>
      </c>
      <c r="N14" s="634"/>
      <c r="O14" s="469">
        <v>2</v>
      </c>
      <c r="P14" s="453"/>
      <c r="Q14" s="453"/>
      <c r="R14" s="453"/>
      <c r="S14" s="453"/>
      <c r="T14" s="453"/>
    </row>
    <row r="15" spans="1:39" s="19" customFormat="1" ht="45" x14ac:dyDescent="0.2">
      <c r="A15" s="17">
        <v>5</v>
      </c>
      <c r="B15" s="17"/>
      <c r="C15" s="517" t="s">
        <v>276</v>
      </c>
      <c r="D15" s="275" t="s">
        <v>105</v>
      </c>
      <c r="E15" s="518" t="s">
        <v>287</v>
      </c>
      <c r="F15" s="519">
        <v>2000000</v>
      </c>
      <c r="G15" s="298"/>
      <c r="H15" s="298"/>
      <c r="I15" s="635" t="s">
        <v>633</v>
      </c>
      <c r="J15" s="548"/>
      <c r="K15" s="548"/>
      <c r="L15" s="548"/>
      <c r="M15" s="636" t="s">
        <v>634</v>
      </c>
      <c r="N15" s="636"/>
      <c r="O15" s="469">
        <v>1</v>
      </c>
      <c r="P15" s="453"/>
      <c r="Q15" s="453"/>
      <c r="R15" s="453"/>
      <c r="S15" s="453"/>
      <c r="T15" s="453"/>
    </row>
    <row r="16" spans="1:39" s="19" customFormat="1" ht="45" x14ac:dyDescent="0.2">
      <c r="A16" s="485">
        <v>6</v>
      </c>
      <c r="B16" s="485"/>
      <c r="C16" s="558" t="s">
        <v>276</v>
      </c>
      <c r="D16" s="486" t="s">
        <v>105</v>
      </c>
      <c r="E16" s="530" t="s">
        <v>288</v>
      </c>
      <c r="F16" s="531">
        <v>3324000</v>
      </c>
      <c r="G16" s="488"/>
      <c r="H16" s="488"/>
      <c r="I16" s="637" t="s">
        <v>633</v>
      </c>
      <c r="J16" s="548"/>
      <c r="K16" s="548"/>
      <c r="L16" s="548"/>
      <c r="M16" s="634" t="s">
        <v>634</v>
      </c>
      <c r="N16" s="634"/>
      <c r="O16" s="469">
        <v>2</v>
      </c>
      <c r="P16" s="453"/>
      <c r="Q16" s="453"/>
      <c r="R16" s="453"/>
      <c r="S16" s="453"/>
      <c r="T16" s="453"/>
    </row>
    <row r="17" spans="1:20" s="19" customFormat="1" ht="45" x14ac:dyDescent="0.2">
      <c r="A17" s="485">
        <v>7</v>
      </c>
      <c r="B17" s="485"/>
      <c r="C17" s="558" t="s">
        <v>276</v>
      </c>
      <c r="D17" s="486" t="s">
        <v>105</v>
      </c>
      <c r="E17" s="530" t="s">
        <v>292</v>
      </c>
      <c r="F17" s="531">
        <v>10516000</v>
      </c>
      <c r="G17" s="488"/>
      <c r="H17" s="488"/>
      <c r="I17" s="634" t="s">
        <v>633</v>
      </c>
      <c r="J17" s="548"/>
      <c r="K17" s="548"/>
      <c r="L17" s="548"/>
      <c r="M17" s="634" t="s">
        <v>634</v>
      </c>
      <c r="N17" s="634"/>
      <c r="O17" s="469">
        <v>2</v>
      </c>
      <c r="P17" s="453"/>
      <c r="Q17" s="453"/>
      <c r="R17" s="453"/>
      <c r="S17" s="453"/>
      <c r="T17" s="453"/>
    </row>
    <row r="18" spans="1:20" s="302" customFormat="1" ht="42" customHeight="1" x14ac:dyDescent="0.2">
      <c r="A18" s="275"/>
      <c r="B18" s="275"/>
      <c r="C18" s="517" t="s">
        <v>276</v>
      </c>
      <c r="D18" s="275" t="s">
        <v>105</v>
      </c>
      <c r="E18" s="518" t="s">
        <v>275</v>
      </c>
      <c r="F18" s="519"/>
      <c r="G18" s="298"/>
      <c r="H18" s="298"/>
      <c r="I18" s="636"/>
      <c r="J18" s="548"/>
      <c r="K18" s="548"/>
      <c r="L18" s="548"/>
      <c r="M18" s="636"/>
      <c r="N18" s="636"/>
      <c r="O18" s="469"/>
      <c r="P18" s="454"/>
      <c r="Q18" s="454"/>
      <c r="R18" s="454"/>
      <c r="S18" s="454"/>
      <c r="T18" s="454"/>
    </row>
    <row r="19" spans="1:20" s="302" customFormat="1" ht="46.5" customHeight="1" x14ac:dyDescent="0.2">
      <c r="A19" s="486">
        <v>8</v>
      </c>
      <c r="B19" s="486"/>
      <c r="C19" s="558" t="s">
        <v>276</v>
      </c>
      <c r="D19" s="486" t="s">
        <v>105</v>
      </c>
      <c r="E19" s="530" t="s">
        <v>278</v>
      </c>
      <c r="F19" s="531">
        <v>3600000</v>
      </c>
      <c r="G19" s="488"/>
      <c r="H19" s="488"/>
      <c r="I19" s="634" t="s">
        <v>633</v>
      </c>
      <c r="J19" s="548"/>
      <c r="K19" s="548"/>
      <c r="L19" s="548"/>
      <c r="M19" s="634" t="s">
        <v>634</v>
      </c>
      <c r="N19" s="634"/>
      <c r="O19" s="469">
        <v>2</v>
      </c>
      <c r="P19" s="454"/>
      <c r="Q19" s="454"/>
      <c r="R19" s="454"/>
      <c r="S19" s="454"/>
      <c r="T19" s="454"/>
    </row>
    <row r="20" spans="1:20" s="302" customFormat="1" ht="48.75" customHeight="1" x14ac:dyDescent="0.2">
      <c r="A20" s="486">
        <v>9</v>
      </c>
      <c r="B20" s="486"/>
      <c r="C20" s="558" t="s">
        <v>276</v>
      </c>
      <c r="D20" s="486" t="s">
        <v>105</v>
      </c>
      <c r="E20" s="530" t="s">
        <v>277</v>
      </c>
      <c r="F20" s="531">
        <v>4320000</v>
      </c>
      <c r="G20" s="488"/>
      <c r="H20" s="488"/>
      <c r="I20" s="634" t="s">
        <v>633</v>
      </c>
      <c r="J20" s="548"/>
      <c r="K20" s="548"/>
      <c r="L20" s="548"/>
      <c r="M20" s="634" t="s">
        <v>634</v>
      </c>
      <c r="N20" s="634"/>
      <c r="O20" s="469">
        <v>2</v>
      </c>
      <c r="P20" s="454"/>
      <c r="Q20" s="454"/>
      <c r="R20" s="454"/>
      <c r="S20" s="454"/>
      <c r="T20" s="454"/>
    </row>
    <row r="21" spans="1:20" s="302" customFormat="1" ht="46.5" customHeight="1" x14ac:dyDescent="0.2">
      <c r="A21" s="486">
        <v>10</v>
      </c>
      <c r="B21" s="486"/>
      <c r="C21" s="558" t="s">
        <v>276</v>
      </c>
      <c r="D21" s="486" t="s">
        <v>105</v>
      </c>
      <c r="E21" s="530" t="s">
        <v>279</v>
      </c>
      <c r="F21" s="531">
        <v>4500000</v>
      </c>
      <c r="G21" s="488"/>
      <c r="H21" s="488"/>
      <c r="I21" s="634" t="s">
        <v>633</v>
      </c>
      <c r="J21" s="548"/>
      <c r="K21" s="548"/>
      <c r="L21" s="548"/>
      <c r="M21" s="634" t="s">
        <v>634</v>
      </c>
      <c r="N21" s="634"/>
      <c r="O21" s="469">
        <v>2</v>
      </c>
      <c r="P21" s="454"/>
      <c r="Q21" s="454"/>
      <c r="R21" s="454"/>
      <c r="S21" s="454"/>
      <c r="T21" s="454"/>
    </row>
    <row r="22" spans="1:20" s="302" customFormat="1" ht="48" customHeight="1" x14ac:dyDescent="0.2">
      <c r="A22" s="486">
        <v>11</v>
      </c>
      <c r="B22" s="486"/>
      <c r="C22" s="558" t="s">
        <v>276</v>
      </c>
      <c r="D22" s="486" t="s">
        <v>105</v>
      </c>
      <c r="E22" s="530" t="s">
        <v>280</v>
      </c>
      <c r="F22" s="531">
        <v>57000000</v>
      </c>
      <c r="G22" s="488"/>
      <c r="H22" s="488"/>
      <c r="I22" s="634" t="s">
        <v>637</v>
      </c>
      <c r="J22" s="548"/>
      <c r="K22" s="548"/>
      <c r="L22" s="548"/>
      <c r="M22" s="634" t="s">
        <v>638</v>
      </c>
      <c r="N22" s="634"/>
      <c r="O22" s="469">
        <v>2</v>
      </c>
      <c r="P22" s="454"/>
      <c r="Q22" s="454"/>
      <c r="R22" s="454"/>
      <c r="S22" s="454"/>
      <c r="T22" s="454"/>
    </row>
    <row r="23" spans="1:20" s="302" customFormat="1" ht="51" customHeight="1" x14ac:dyDescent="0.2">
      <c r="A23" s="638">
        <v>12</v>
      </c>
      <c r="B23" s="638"/>
      <c r="C23" s="639" t="s">
        <v>276</v>
      </c>
      <c r="D23" s="638" t="s">
        <v>105</v>
      </c>
      <c r="E23" s="640" t="s">
        <v>282</v>
      </c>
      <c r="F23" s="641">
        <v>556854900</v>
      </c>
      <c r="G23" s="642"/>
      <c r="H23" s="642"/>
      <c r="I23" s="643" t="s">
        <v>639</v>
      </c>
      <c r="J23" s="644"/>
      <c r="K23" s="644"/>
      <c r="L23" s="644"/>
      <c r="M23" s="643" t="s">
        <v>636</v>
      </c>
      <c r="N23" s="643"/>
      <c r="O23" s="469">
        <v>3</v>
      </c>
      <c r="P23" s="454"/>
      <c r="Q23" s="454"/>
      <c r="R23" s="454"/>
      <c r="S23" s="454"/>
      <c r="T23" s="454"/>
    </row>
    <row r="24" spans="1:20" s="302" customFormat="1" ht="69" customHeight="1" x14ac:dyDescent="0.2">
      <c r="A24" s="486">
        <v>13</v>
      </c>
      <c r="B24" s="486"/>
      <c r="C24" s="558" t="s">
        <v>276</v>
      </c>
      <c r="D24" s="486" t="s">
        <v>105</v>
      </c>
      <c r="E24" s="530" t="s">
        <v>289</v>
      </c>
      <c r="F24" s="531">
        <v>12000000</v>
      </c>
      <c r="G24" s="488"/>
      <c r="H24" s="488"/>
      <c r="I24" s="634" t="s">
        <v>640</v>
      </c>
      <c r="J24" s="548"/>
      <c r="K24" s="548"/>
      <c r="L24" s="548"/>
      <c r="M24" s="634" t="s">
        <v>634</v>
      </c>
      <c r="N24" s="634"/>
      <c r="O24" s="469">
        <v>2</v>
      </c>
      <c r="P24" s="454"/>
      <c r="Q24" s="454"/>
      <c r="R24" s="454"/>
      <c r="S24" s="454"/>
      <c r="T24" s="454"/>
    </row>
    <row r="25" spans="1:20" s="302" customFormat="1" ht="66" customHeight="1" x14ac:dyDescent="0.2">
      <c r="A25" s="486">
        <v>14</v>
      </c>
      <c r="B25" s="486"/>
      <c r="C25" s="558" t="s">
        <v>276</v>
      </c>
      <c r="D25" s="486" t="s">
        <v>105</v>
      </c>
      <c r="E25" s="530" t="s">
        <v>290</v>
      </c>
      <c r="F25" s="531">
        <v>10500000</v>
      </c>
      <c r="G25" s="488"/>
      <c r="H25" s="488"/>
      <c r="I25" s="634" t="s">
        <v>640</v>
      </c>
      <c r="J25" s="548"/>
      <c r="K25" s="548"/>
      <c r="L25" s="548"/>
      <c r="M25" s="634" t="s">
        <v>634</v>
      </c>
      <c r="N25" s="634"/>
      <c r="O25" s="469">
        <v>2</v>
      </c>
      <c r="P25" s="454"/>
      <c r="Q25" s="454"/>
      <c r="R25" s="454"/>
      <c r="S25" s="454"/>
      <c r="T25" s="454"/>
    </row>
    <row r="26" spans="1:20" s="9" customFormat="1" x14ac:dyDescent="0.2">
      <c r="A26" s="6"/>
      <c r="B26" s="13"/>
      <c r="C26" s="13"/>
      <c r="D26" s="13"/>
      <c r="E26" s="7"/>
      <c r="F26" s="334"/>
      <c r="G26" s="11"/>
      <c r="H26" s="11"/>
      <c r="I26" s="11"/>
      <c r="J26" s="11"/>
      <c r="K26" s="10"/>
      <c r="L26" s="10"/>
      <c r="M26" s="11"/>
      <c r="N26" s="11"/>
      <c r="O26" s="445"/>
      <c r="P26" s="437"/>
      <c r="Q26" s="437"/>
      <c r="R26" s="437"/>
      <c r="S26" s="437"/>
      <c r="T26" s="437"/>
    </row>
    <row r="27" spans="1:20" s="9" customFormat="1" ht="22.5" thickBot="1" x14ac:dyDescent="0.55000000000000004">
      <c r="A27" s="241">
        <f>+A25</f>
        <v>14</v>
      </c>
      <c r="B27" s="241"/>
      <c r="C27" s="241"/>
      <c r="D27" s="241"/>
      <c r="E27" s="242" t="s">
        <v>47</v>
      </c>
      <c r="F27" s="329">
        <f>SUM(F11:F26)</f>
        <v>690950900</v>
      </c>
      <c r="G27" s="243">
        <f>SUM(G11:G26)</f>
        <v>0</v>
      </c>
      <c r="H27" s="243">
        <f>SUM(H11:H26)</f>
        <v>0</v>
      </c>
      <c r="I27" s="243"/>
      <c r="J27" s="11"/>
      <c r="K27" s="10"/>
      <c r="L27" s="10"/>
      <c r="M27" s="243"/>
      <c r="N27" s="243"/>
      <c r="O27" s="445"/>
      <c r="P27" s="437"/>
      <c r="Q27" s="437"/>
      <c r="R27" s="437"/>
      <c r="S27" s="437"/>
      <c r="T27" s="437"/>
    </row>
    <row r="28" spans="1:20" s="9" customFormat="1" ht="22.5" hidden="1" thickBot="1" x14ac:dyDescent="0.25">
      <c r="A28" s="17"/>
      <c r="B28" s="17"/>
      <c r="C28" s="17"/>
      <c r="D28" s="17"/>
      <c r="E28" s="30" t="s">
        <v>10</v>
      </c>
      <c r="F28" s="336"/>
      <c r="G28" s="34"/>
      <c r="H28" s="34"/>
      <c r="I28" s="34"/>
      <c r="J28" s="11"/>
      <c r="K28" s="10"/>
      <c r="L28" s="10"/>
      <c r="M28" s="34"/>
      <c r="N28" s="34"/>
      <c r="O28" s="445"/>
      <c r="P28" s="437"/>
      <c r="Q28" s="437"/>
      <c r="R28" s="437"/>
      <c r="S28" s="437"/>
      <c r="T28" s="437"/>
    </row>
    <row r="29" spans="1:20" s="304" customFormat="1" ht="22.5" hidden="1" thickBot="1" x14ac:dyDescent="0.25">
      <c r="A29" s="271"/>
      <c r="B29" s="271"/>
      <c r="C29" s="271"/>
      <c r="D29" s="271"/>
      <c r="E29" s="272"/>
      <c r="F29" s="328"/>
      <c r="G29" s="269"/>
      <c r="H29" s="269"/>
      <c r="I29" s="269"/>
      <c r="J29" s="269"/>
      <c r="K29" s="287"/>
      <c r="L29" s="287"/>
      <c r="M29" s="269"/>
      <c r="N29" s="269"/>
      <c r="O29" s="447"/>
      <c r="P29" s="448"/>
      <c r="Q29" s="448"/>
      <c r="R29" s="448"/>
      <c r="S29" s="448"/>
      <c r="T29" s="448"/>
    </row>
    <row r="30" spans="1:20" s="304" customFormat="1" ht="22.5" hidden="1" thickBot="1" x14ac:dyDescent="0.25">
      <c r="A30" s="271"/>
      <c r="B30" s="271"/>
      <c r="C30" s="271"/>
      <c r="D30" s="271"/>
      <c r="E30" s="272"/>
      <c r="F30" s="328"/>
      <c r="G30" s="269"/>
      <c r="H30" s="269"/>
      <c r="I30" s="269"/>
      <c r="J30" s="269"/>
      <c r="K30" s="287"/>
      <c r="L30" s="287"/>
      <c r="M30" s="269"/>
      <c r="N30" s="269"/>
      <c r="O30" s="447"/>
      <c r="P30" s="448"/>
      <c r="Q30" s="448"/>
      <c r="R30" s="448"/>
      <c r="S30" s="448"/>
      <c r="T30" s="448"/>
    </row>
    <row r="31" spans="1:20" s="304" customFormat="1" ht="22.5" hidden="1" thickBot="1" x14ac:dyDescent="0.25">
      <c r="A31" s="271"/>
      <c r="B31" s="271"/>
      <c r="C31" s="271"/>
      <c r="D31" s="271"/>
      <c r="E31" s="272"/>
      <c r="F31" s="328"/>
      <c r="G31" s="269"/>
      <c r="H31" s="269"/>
      <c r="I31" s="269"/>
      <c r="J31" s="269"/>
      <c r="K31" s="287"/>
      <c r="L31" s="287"/>
      <c r="M31" s="269"/>
      <c r="N31" s="269"/>
      <c r="O31" s="447"/>
      <c r="P31" s="448"/>
      <c r="Q31" s="448"/>
      <c r="R31" s="448"/>
      <c r="S31" s="448"/>
      <c r="T31" s="448"/>
    </row>
    <row r="32" spans="1:20" s="304" customFormat="1" ht="22.5" hidden="1" thickBot="1" x14ac:dyDescent="0.25">
      <c r="A32" s="271"/>
      <c r="B32" s="271"/>
      <c r="C32" s="271"/>
      <c r="D32" s="271"/>
      <c r="E32" s="272"/>
      <c r="F32" s="328"/>
      <c r="G32" s="269"/>
      <c r="H32" s="269"/>
      <c r="I32" s="269"/>
      <c r="J32" s="269"/>
      <c r="K32" s="287"/>
      <c r="L32" s="287"/>
      <c r="M32" s="269"/>
      <c r="N32" s="269"/>
      <c r="O32" s="447"/>
      <c r="P32" s="448"/>
      <c r="Q32" s="448"/>
      <c r="R32" s="448"/>
      <c r="S32" s="448"/>
      <c r="T32" s="448"/>
    </row>
    <row r="33" spans="1:20" s="304" customFormat="1" ht="22.5" hidden="1" thickBot="1" x14ac:dyDescent="0.25">
      <c r="A33" s="271"/>
      <c r="B33" s="271"/>
      <c r="C33" s="271"/>
      <c r="D33" s="271"/>
      <c r="E33" s="272"/>
      <c r="F33" s="328"/>
      <c r="G33" s="269"/>
      <c r="H33" s="269"/>
      <c r="I33" s="269"/>
      <c r="J33" s="269"/>
      <c r="K33" s="287"/>
      <c r="L33" s="287"/>
      <c r="M33" s="269"/>
      <c r="N33" s="269"/>
      <c r="O33" s="447"/>
      <c r="P33" s="448"/>
      <c r="Q33" s="448"/>
      <c r="R33" s="448"/>
      <c r="S33" s="448"/>
      <c r="T33" s="448"/>
    </row>
    <row r="34" spans="1:20" s="304" customFormat="1" ht="22.5" hidden="1" thickBot="1" x14ac:dyDescent="0.25">
      <c r="A34" s="271"/>
      <c r="B34" s="271"/>
      <c r="C34" s="271"/>
      <c r="D34" s="271"/>
      <c r="E34" s="272"/>
      <c r="F34" s="328"/>
      <c r="G34" s="269"/>
      <c r="H34" s="269"/>
      <c r="I34" s="269"/>
      <c r="J34" s="269"/>
      <c r="K34" s="287"/>
      <c r="L34" s="287"/>
      <c r="M34" s="269"/>
      <c r="N34" s="269"/>
      <c r="O34" s="447"/>
      <c r="P34" s="448"/>
      <c r="Q34" s="448"/>
      <c r="R34" s="448"/>
      <c r="S34" s="448"/>
      <c r="T34" s="448"/>
    </row>
    <row r="35" spans="1:20" s="9" customFormat="1" ht="22.5" hidden="1" thickBot="1" x14ac:dyDescent="0.25">
      <c r="A35" s="17"/>
      <c r="B35" s="17"/>
      <c r="C35" s="17"/>
      <c r="D35" s="17"/>
      <c r="E35" s="365"/>
      <c r="F35" s="336"/>
      <c r="G35" s="34"/>
      <c r="H35" s="34"/>
      <c r="I35" s="34"/>
      <c r="J35" s="11"/>
      <c r="K35" s="10"/>
      <c r="L35" s="10"/>
      <c r="M35" s="34"/>
      <c r="N35" s="34"/>
      <c r="O35" s="445"/>
      <c r="P35" s="437"/>
      <c r="Q35" s="437"/>
      <c r="R35" s="437"/>
      <c r="S35" s="437"/>
      <c r="T35" s="437"/>
    </row>
    <row r="36" spans="1:20" s="9" customFormat="1" ht="22.5" hidden="1" thickBot="1" x14ac:dyDescent="0.25">
      <c r="A36" s="17"/>
      <c r="B36" s="17"/>
      <c r="C36" s="17"/>
      <c r="D36" s="17"/>
      <c r="E36" s="365"/>
      <c r="F36" s="336"/>
      <c r="G36" s="34"/>
      <c r="H36" s="34"/>
      <c r="I36" s="34"/>
      <c r="J36" s="11"/>
      <c r="K36" s="10"/>
      <c r="L36" s="10"/>
      <c r="M36" s="34"/>
      <c r="N36" s="34"/>
      <c r="O36" s="445"/>
      <c r="P36" s="437"/>
      <c r="Q36" s="437"/>
      <c r="R36" s="437"/>
      <c r="S36" s="437"/>
      <c r="T36" s="437"/>
    </row>
    <row r="37" spans="1:20" s="9" customFormat="1" ht="22.5" hidden="1" thickBot="1" x14ac:dyDescent="0.25">
      <c r="A37" s="17"/>
      <c r="B37" s="17"/>
      <c r="C37" s="17"/>
      <c r="D37" s="17"/>
      <c r="E37" s="365"/>
      <c r="F37" s="336"/>
      <c r="G37" s="34"/>
      <c r="H37" s="34"/>
      <c r="I37" s="34"/>
      <c r="J37" s="11"/>
      <c r="K37" s="10"/>
      <c r="L37" s="10"/>
      <c r="M37" s="34"/>
      <c r="N37" s="34"/>
      <c r="O37" s="445"/>
      <c r="P37" s="437"/>
      <c r="Q37" s="437"/>
      <c r="R37" s="437"/>
      <c r="S37" s="437"/>
      <c r="T37" s="437"/>
    </row>
    <row r="38" spans="1:20" s="9" customFormat="1" ht="22.5" hidden="1" thickBot="1" x14ac:dyDescent="0.25">
      <c r="A38" s="17"/>
      <c r="B38" s="17"/>
      <c r="C38" s="17"/>
      <c r="D38" s="17"/>
      <c r="E38" s="365"/>
      <c r="F38" s="336"/>
      <c r="G38" s="34"/>
      <c r="H38" s="34"/>
      <c r="I38" s="34"/>
      <c r="J38" s="11"/>
      <c r="K38" s="10"/>
      <c r="L38" s="10"/>
      <c r="M38" s="34"/>
      <c r="N38" s="34"/>
      <c r="O38" s="445"/>
      <c r="P38" s="437"/>
      <c r="Q38" s="437"/>
      <c r="R38" s="437"/>
      <c r="S38" s="437"/>
      <c r="T38" s="437"/>
    </row>
    <row r="39" spans="1:20" s="9" customFormat="1" ht="22.5" hidden="1" thickBot="1" x14ac:dyDescent="0.25">
      <c r="A39" s="17"/>
      <c r="B39" s="17"/>
      <c r="C39" s="17"/>
      <c r="D39" s="17"/>
      <c r="E39" s="365"/>
      <c r="F39" s="336"/>
      <c r="G39" s="34"/>
      <c r="H39" s="34"/>
      <c r="I39" s="34"/>
      <c r="J39" s="11"/>
      <c r="K39" s="10"/>
      <c r="L39" s="10"/>
      <c r="M39" s="34"/>
      <c r="N39" s="34"/>
      <c r="O39" s="445"/>
      <c r="P39" s="437"/>
      <c r="Q39" s="437"/>
      <c r="R39" s="437"/>
      <c r="S39" s="437"/>
      <c r="T39" s="437"/>
    </row>
    <row r="40" spans="1:20" s="9" customFormat="1" ht="22.5" hidden="1" thickBot="1" x14ac:dyDescent="0.25">
      <c r="A40" s="17"/>
      <c r="B40" s="17"/>
      <c r="C40" s="17"/>
      <c r="D40" s="17"/>
      <c r="E40" s="365"/>
      <c r="F40" s="336"/>
      <c r="G40" s="34"/>
      <c r="H40" s="34"/>
      <c r="I40" s="34"/>
      <c r="J40" s="11"/>
      <c r="K40" s="10"/>
      <c r="L40" s="10"/>
      <c r="M40" s="34"/>
      <c r="N40" s="34"/>
      <c r="O40" s="445"/>
      <c r="P40" s="437"/>
      <c r="Q40" s="437"/>
      <c r="R40" s="437"/>
      <c r="S40" s="437"/>
      <c r="T40" s="437"/>
    </row>
    <row r="41" spans="1:20" s="9" customFormat="1" ht="25.5" hidden="1" customHeight="1" x14ac:dyDescent="0.2">
      <c r="A41" s="6"/>
      <c r="B41" s="6"/>
      <c r="C41" s="6"/>
      <c r="D41" s="6"/>
      <c r="E41" s="7"/>
      <c r="F41" s="335"/>
      <c r="G41" s="11"/>
      <c r="H41" s="11"/>
      <c r="I41" s="11"/>
      <c r="J41" s="11"/>
      <c r="K41" s="10"/>
      <c r="L41" s="10"/>
      <c r="M41" s="11"/>
      <c r="N41" s="11"/>
      <c r="O41" s="445"/>
      <c r="P41" s="437"/>
      <c r="Q41" s="437"/>
      <c r="R41" s="437"/>
      <c r="S41" s="437"/>
      <c r="T41" s="437"/>
    </row>
    <row r="42" spans="1:20" s="9" customFormat="1" ht="22.5" hidden="1" thickBot="1" x14ac:dyDescent="0.55000000000000004">
      <c r="A42" s="244">
        <f>+A40</f>
        <v>0</v>
      </c>
      <c r="B42" s="244"/>
      <c r="C42" s="244"/>
      <c r="D42" s="244"/>
      <c r="E42" s="245" t="s">
        <v>33</v>
      </c>
      <c r="F42" s="330">
        <f>SUM(F41:F41)</f>
        <v>0</v>
      </c>
      <c r="G42" s="246">
        <f>SUM(G41:G41)</f>
        <v>0</v>
      </c>
      <c r="H42" s="246">
        <f>SUM(H41:H41)</f>
        <v>0</v>
      </c>
      <c r="I42" s="246"/>
      <c r="J42" s="11"/>
      <c r="K42" s="10"/>
      <c r="L42" s="10"/>
      <c r="M42" s="246"/>
      <c r="N42" s="246"/>
      <c r="O42" s="445"/>
      <c r="P42" s="437"/>
      <c r="Q42" s="437"/>
      <c r="R42" s="437"/>
      <c r="S42" s="437"/>
      <c r="T42" s="437"/>
    </row>
    <row r="43" spans="1:20" s="9" customFormat="1" ht="22.5" thickBot="1" x14ac:dyDescent="0.55000000000000004">
      <c r="A43" s="247">
        <f>+A27+A42</f>
        <v>14</v>
      </c>
      <c r="B43" s="248"/>
      <c r="C43" s="248"/>
      <c r="D43" s="248"/>
      <c r="E43" s="248" t="s">
        <v>195</v>
      </c>
      <c r="F43" s="331">
        <f>F27+F42</f>
        <v>690950900</v>
      </c>
      <c r="G43" s="249">
        <f>+G27+G42</f>
        <v>0</v>
      </c>
      <c r="H43" s="249">
        <f>+H27+H42</f>
        <v>0</v>
      </c>
      <c r="I43" s="249"/>
      <c r="J43" s="11"/>
      <c r="K43" s="10"/>
      <c r="L43" s="10"/>
      <c r="M43" s="249"/>
      <c r="N43" s="249"/>
      <c r="O43" s="445"/>
      <c r="P43" s="437"/>
      <c r="Q43" s="437"/>
      <c r="R43" s="437"/>
      <c r="S43" s="437"/>
      <c r="T43" s="437"/>
    </row>
    <row r="44" spans="1:20" s="9" customFormat="1" x14ac:dyDescent="0.2">
      <c r="A44" s="15"/>
      <c r="B44" s="15"/>
      <c r="C44" s="15"/>
      <c r="D44" s="15"/>
      <c r="E44" s="31"/>
      <c r="F44" s="21"/>
      <c r="G44" s="20"/>
      <c r="H44" s="20"/>
      <c r="I44" s="20"/>
      <c r="J44" s="11"/>
      <c r="K44" s="10"/>
      <c r="L44" s="10"/>
      <c r="M44" s="20"/>
      <c r="N44" s="20"/>
      <c r="O44" s="445"/>
      <c r="P44" s="437"/>
      <c r="Q44" s="437"/>
      <c r="R44" s="437"/>
      <c r="S44" s="437"/>
      <c r="T44" s="437"/>
    </row>
    <row r="45" spans="1:20" s="9" customFormat="1" x14ac:dyDescent="0.5">
      <c r="A45" s="15"/>
      <c r="B45" s="15"/>
      <c r="C45" s="15"/>
      <c r="D45" s="15"/>
      <c r="E45" s="31"/>
      <c r="F45" s="35"/>
      <c r="G45" s="20"/>
      <c r="H45" s="20"/>
      <c r="I45" s="20"/>
      <c r="J45" s="11"/>
      <c r="K45" s="10"/>
      <c r="L45" s="10"/>
      <c r="M45" s="20"/>
      <c r="N45" s="20"/>
      <c r="O45" s="445"/>
      <c r="P45" s="437"/>
      <c r="Q45" s="437"/>
      <c r="R45" s="437"/>
      <c r="S45" s="437"/>
      <c r="T45" s="437"/>
    </row>
    <row r="46" spans="1:20" s="9" customFormat="1" x14ac:dyDescent="0.5">
      <c r="A46" s="3"/>
      <c r="B46" s="3"/>
      <c r="C46" s="3"/>
      <c r="D46" s="3"/>
      <c r="E46" s="1"/>
      <c r="F46" s="4"/>
      <c r="G46" s="106"/>
      <c r="H46" s="106"/>
      <c r="I46" s="106"/>
      <c r="J46" s="11"/>
      <c r="K46" s="10"/>
      <c r="L46" s="10"/>
      <c r="M46" s="106"/>
      <c r="N46" s="106"/>
      <c r="O46" s="445"/>
      <c r="P46" s="437"/>
      <c r="Q46" s="437"/>
      <c r="R46" s="437"/>
      <c r="S46" s="437"/>
      <c r="T46" s="437"/>
    </row>
    <row r="47" spans="1:20" s="9" customFormat="1" x14ac:dyDescent="0.5">
      <c r="A47" s="22"/>
      <c r="B47" s="22"/>
      <c r="C47" s="22"/>
      <c r="D47" s="22"/>
      <c r="E47" s="81"/>
      <c r="F47" s="286"/>
      <c r="G47" s="125"/>
      <c r="H47" s="125"/>
      <c r="I47" s="125"/>
      <c r="J47" s="11"/>
      <c r="K47" s="10"/>
      <c r="L47" s="10"/>
      <c r="M47" s="125"/>
      <c r="N47" s="125"/>
      <c r="O47" s="445"/>
      <c r="P47" s="437"/>
      <c r="Q47" s="437"/>
      <c r="R47" s="437"/>
      <c r="S47" s="437"/>
      <c r="T47" s="437"/>
    </row>
    <row r="48" spans="1:20" s="9" customFormat="1" x14ac:dyDescent="0.5">
      <c r="A48" s="22"/>
      <c r="B48" s="22"/>
      <c r="C48" s="22"/>
      <c r="D48" s="22"/>
      <c r="E48" s="23"/>
      <c r="F48" s="25"/>
      <c r="G48" s="107"/>
      <c r="H48" s="107"/>
      <c r="I48" s="107"/>
      <c r="J48" s="11"/>
      <c r="K48" s="10"/>
      <c r="L48" s="10"/>
      <c r="M48" s="107"/>
      <c r="N48" s="107"/>
      <c r="O48" s="445"/>
      <c r="P48" s="437"/>
      <c r="Q48" s="437"/>
      <c r="R48" s="437"/>
      <c r="S48" s="437"/>
      <c r="T48" s="437"/>
    </row>
    <row r="49" spans="1:47" s="9" customFormat="1" x14ac:dyDescent="0.5">
      <c r="A49" s="22"/>
      <c r="B49" s="22"/>
      <c r="C49" s="22"/>
      <c r="D49" s="22"/>
      <c r="E49" s="23"/>
      <c r="F49" s="25"/>
      <c r="G49" s="107"/>
      <c r="H49" s="107"/>
      <c r="I49" s="107"/>
      <c r="J49" s="11"/>
      <c r="K49" s="10"/>
      <c r="L49" s="10"/>
      <c r="M49" s="107"/>
      <c r="N49" s="107"/>
      <c r="O49" s="445"/>
      <c r="P49" s="437"/>
      <c r="Q49" s="437"/>
      <c r="R49" s="437"/>
      <c r="S49" s="437"/>
      <c r="T49" s="437"/>
    </row>
    <row r="50" spans="1:47" s="9" customFormat="1" x14ac:dyDescent="0.5">
      <c r="A50" s="22"/>
      <c r="B50" s="22"/>
      <c r="C50" s="22"/>
      <c r="D50" s="22"/>
      <c r="E50" s="23"/>
      <c r="F50" s="25"/>
      <c r="G50" s="107"/>
      <c r="H50" s="107"/>
      <c r="I50" s="107"/>
      <c r="J50" s="11"/>
      <c r="K50" s="10"/>
      <c r="L50" s="10"/>
      <c r="M50" s="107"/>
      <c r="N50" s="107"/>
      <c r="O50" s="445"/>
      <c r="P50" s="437"/>
      <c r="Q50" s="437"/>
      <c r="R50" s="437"/>
      <c r="S50" s="437"/>
      <c r="T50" s="437"/>
    </row>
    <row r="51" spans="1:47" s="9" customFormat="1" x14ac:dyDescent="0.5">
      <c r="A51" s="3"/>
      <c r="B51" s="3"/>
      <c r="C51" s="3"/>
      <c r="D51" s="3"/>
      <c r="E51" s="1"/>
      <c r="F51" s="4"/>
      <c r="G51" s="106"/>
      <c r="H51" s="106"/>
      <c r="I51" s="106"/>
      <c r="J51" s="11"/>
      <c r="K51" s="10"/>
      <c r="L51" s="10"/>
      <c r="M51" s="106"/>
      <c r="N51" s="106"/>
      <c r="O51" s="445"/>
      <c r="P51" s="437"/>
      <c r="Q51" s="437"/>
      <c r="R51" s="437"/>
      <c r="S51" s="437"/>
      <c r="T51" s="437"/>
    </row>
    <row r="52" spans="1:47" s="9" customFormat="1" x14ac:dyDescent="0.5">
      <c r="A52" s="3"/>
      <c r="B52" s="3"/>
      <c r="C52" s="3"/>
      <c r="D52" s="3"/>
      <c r="E52" s="1"/>
      <c r="F52" s="4"/>
      <c r="G52" s="106"/>
      <c r="H52" s="106"/>
      <c r="I52" s="106"/>
      <c r="J52" s="11"/>
      <c r="K52" s="10"/>
      <c r="L52" s="10"/>
      <c r="M52" s="106"/>
      <c r="N52" s="106"/>
      <c r="O52" s="445"/>
      <c r="P52" s="437"/>
      <c r="Q52" s="437"/>
      <c r="R52" s="437"/>
      <c r="S52" s="437"/>
      <c r="T52" s="437"/>
    </row>
    <row r="53" spans="1:47" s="14" customFormat="1" x14ac:dyDescent="0.5">
      <c r="A53" s="3"/>
      <c r="B53" s="3"/>
      <c r="C53" s="3"/>
      <c r="D53" s="3"/>
      <c r="E53" s="1"/>
      <c r="F53" s="4"/>
      <c r="G53" s="106"/>
      <c r="H53" s="106"/>
      <c r="I53" s="106"/>
      <c r="J53" s="243">
        <f>SUM(J11:J52)</f>
        <v>0</v>
      </c>
      <c r="K53" s="243">
        <f>SUM(K11:K52)</f>
        <v>0</v>
      </c>
      <c r="L53" s="243">
        <f>SUM(L11:L52)</f>
        <v>0</v>
      </c>
      <c r="M53" s="106"/>
      <c r="N53" s="106"/>
      <c r="O53" s="463"/>
      <c r="P53" s="450">
        <f>+F27+G27</f>
        <v>690950900</v>
      </c>
      <c r="Q53" s="451"/>
      <c r="R53" s="451"/>
      <c r="S53" s="452"/>
      <c r="T53" s="452"/>
    </row>
    <row r="54" spans="1:47" s="19" customFormat="1" x14ac:dyDescent="0.5">
      <c r="A54" s="3"/>
      <c r="B54" s="3"/>
      <c r="C54" s="3"/>
      <c r="D54" s="3"/>
      <c r="E54" s="1"/>
      <c r="F54" s="4"/>
      <c r="G54" s="106"/>
      <c r="H54" s="106"/>
      <c r="I54" s="106"/>
      <c r="J54" s="34"/>
      <c r="K54" s="18"/>
      <c r="L54" s="18"/>
      <c r="M54" s="106"/>
      <c r="N54" s="106"/>
      <c r="O54" s="464"/>
      <c r="P54" s="453"/>
      <c r="Q54" s="453"/>
      <c r="R54" s="453"/>
      <c r="S54" s="453"/>
      <c r="T54" s="453"/>
    </row>
    <row r="55" spans="1:47" s="19" customFormat="1" x14ac:dyDescent="0.5">
      <c r="A55" s="3"/>
      <c r="B55" s="3"/>
      <c r="C55" s="3"/>
      <c r="D55" s="3"/>
      <c r="E55" s="1"/>
      <c r="F55" s="4"/>
      <c r="G55" s="106"/>
      <c r="H55" s="106"/>
      <c r="I55" s="106"/>
      <c r="J55" s="34"/>
      <c r="K55" s="18"/>
      <c r="L55" s="18"/>
      <c r="M55" s="106"/>
      <c r="N55" s="106"/>
      <c r="O55" s="464"/>
      <c r="P55" s="453"/>
      <c r="Q55" s="453"/>
      <c r="R55" s="453"/>
      <c r="S55" s="453"/>
      <c r="T55" s="453"/>
    </row>
    <row r="56" spans="1:47" s="9" customFormat="1" x14ac:dyDescent="0.5">
      <c r="A56" s="3"/>
      <c r="B56" s="3"/>
      <c r="C56" s="3"/>
      <c r="D56" s="3"/>
      <c r="E56" s="1"/>
      <c r="F56" s="4"/>
      <c r="G56" s="106"/>
      <c r="H56" s="106"/>
      <c r="I56" s="106"/>
      <c r="J56" s="11"/>
      <c r="K56" s="10"/>
      <c r="L56" s="10"/>
      <c r="M56" s="106"/>
      <c r="N56" s="106"/>
      <c r="O56" s="445"/>
      <c r="P56" s="437"/>
      <c r="Q56" s="437"/>
      <c r="R56" s="437"/>
      <c r="S56" s="437"/>
      <c r="T56" s="437"/>
    </row>
    <row r="57" spans="1:47" s="19" customFormat="1" ht="22.5" thickBot="1" x14ac:dyDescent="0.55000000000000004">
      <c r="A57" s="3"/>
      <c r="B57" s="3"/>
      <c r="C57" s="3"/>
      <c r="D57" s="3"/>
      <c r="E57" s="1"/>
      <c r="F57" s="4"/>
      <c r="G57" s="106"/>
      <c r="H57" s="106"/>
      <c r="I57" s="106"/>
      <c r="J57" s="246">
        <f>SUM(J55:J56)</f>
        <v>0</v>
      </c>
      <c r="K57" s="246">
        <f>SUM(K55:K56)</f>
        <v>0</v>
      </c>
      <c r="L57" s="246">
        <f>SUM(L55:L56)</f>
        <v>0</v>
      </c>
      <c r="M57" s="106"/>
      <c r="N57" s="106"/>
      <c r="O57" s="462"/>
      <c r="P57" s="455">
        <f>+F42+G42</f>
        <v>0</v>
      </c>
      <c r="Q57" s="451"/>
      <c r="R57" s="451"/>
      <c r="S57" s="453"/>
      <c r="T57" s="453"/>
    </row>
    <row r="58" spans="1:47" s="28" customFormat="1" ht="22.5" thickBot="1" x14ac:dyDescent="0.55000000000000004">
      <c r="A58" s="3"/>
      <c r="B58" s="3"/>
      <c r="C58" s="3"/>
      <c r="D58" s="3"/>
      <c r="E58" s="1"/>
      <c r="F58" s="4"/>
      <c r="G58" s="106"/>
      <c r="H58" s="106"/>
      <c r="I58" s="106"/>
      <c r="J58" s="249">
        <f>J53+J57</f>
        <v>0</v>
      </c>
      <c r="K58" s="249">
        <f>K53+K57</f>
        <v>0</v>
      </c>
      <c r="L58" s="249">
        <f>L53+L57</f>
        <v>0</v>
      </c>
      <c r="M58" s="106"/>
      <c r="N58" s="106"/>
      <c r="O58" s="465"/>
      <c r="P58" s="436">
        <f>+P53+P57</f>
        <v>690950900</v>
      </c>
      <c r="Q58" s="457"/>
      <c r="R58" s="457"/>
      <c r="S58" s="434"/>
      <c r="T58" s="434"/>
      <c r="U58" s="2"/>
      <c r="V58" s="2"/>
      <c r="W58" s="2"/>
      <c r="X58" s="2"/>
      <c r="Y58" s="2"/>
      <c r="Z58" s="2"/>
      <c r="AA58" s="2"/>
      <c r="AB58" s="2"/>
    </row>
    <row r="59" spans="1:47" s="9" customFormat="1" x14ac:dyDescent="0.5">
      <c r="A59" s="3"/>
      <c r="B59" s="3"/>
      <c r="C59" s="3"/>
      <c r="D59" s="3"/>
      <c r="E59" s="1"/>
      <c r="F59" s="4"/>
      <c r="G59" s="106"/>
      <c r="H59" s="106"/>
      <c r="I59" s="106"/>
      <c r="J59" s="20"/>
      <c r="K59" s="104"/>
      <c r="L59" s="104"/>
      <c r="M59" s="106"/>
      <c r="N59" s="106"/>
      <c r="O59" s="445"/>
      <c r="P59" s="437"/>
      <c r="Q59" s="437"/>
      <c r="R59" s="437"/>
      <c r="S59" s="437"/>
      <c r="T59" s="437"/>
    </row>
    <row r="60" spans="1:47" s="9" customFormat="1" x14ac:dyDescent="0.5">
      <c r="A60" s="3"/>
      <c r="B60" s="3"/>
      <c r="C60" s="3"/>
      <c r="D60" s="3"/>
      <c r="E60" s="1"/>
      <c r="F60" s="4"/>
      <c r="G60" s="106"/>
      <c r="H60" s="106"/>
      <c r="I60" s="106"/>
      <c r="J60" s="20"/>
      <c r="K60" s="104"/>
      <c r="L60" s="104"/>
      <c r="M60" s="106"/>
      <c r="N60" s="106"/>
      <c r="O60" s="445"/>
      <c r="P60" s="437"/>
      <c r="Q60" s="437"/>
      <c r="R60" s="437"/>
      <c r="S60" s="437"/>
      <c r="T60" s="437"/>
    </row>
    <row r="62" spans="1:47" s="23" customFormat="1" x14ac:dyDescent="0.5">
      <c r="A62" s="3"/>
      <c r="B62" s="3"/>
      <c r="C62" s="3"/>
      <c r="D62" s="3"/>
      <c r="E62" s="1"/>
      <c r="F62" s="4"/>
      <c r="G62" s="106"/>
      <c r="H62" s="106"/>
      <c r="I62" s="106"/>
      <c r="J62" s="125"/>
      <c r="K62" s="190"/>
      <c r="L62" s="190"/>
      <c r="M62" s="106"/>
      <c r="N62" s="106"/>
      <c r="O62" s="441"/>
      <c r="P62" s="434"/>
      <c r="Q62" s="434"/>
      <c r="R62" s="434"/>
      <c r="S62" s="434"/>
      <c r="T62" s="43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</row>
    <row r="63" spans="1:47" s="23" customFormat="1" x14ac:dyDescent="0.5">
      <c r="A63" s="3"/>
      <c r="B63" s="3"/>
      <c r="C63" s="3"/>
      <c r="D63" s="3"/>
      <c r="E63" s="1"/>
      <c r="F63" s="4"/>
      <c r="G63" s="106"/>
      <c r="H63" s="106"/>
      <c r="I63" s="106"/>
      <c r="J63" s="107"/>
      <c r="K63" s="190"/>
      <c r="L63" s="190"/>
      <c r="M63" s="106"/>
      <c r="N63" s="106"/>
      <c r="O63" s="441"/>
      <c r="P63" s="434"/>
      <c r="Q63" s="434"/>
      <c r="R63" s="434"/>
      <c r="S63" s="434"/>
      <c r="T63" s="43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</row>
    <row r="64" spans="1:47" s="23" customFormat="1" x14ac:dyDescent="0.5">
      <c r="A64" s="3"/>
      <c r="B64" s="3"/>
      <c r="C64" s="3"/>
      <c r="D64" s="3"/>
      <c r="E64" s="1"/>
      <c r="F64" s="4"/>
      <c r="G64" s="106"/>
      <c r="H64" s="106"/>
      <c r="I64" s="106"/>
      <c r="J64" s="107"/>
      <c r="K64" s="190"/>
      <c r="L64" s="190"/>
      <c r="M64" s="106"/>
      <c r="N64" s="106"/>
      <c r="O64" s="441"/>
      <c r="P64" s="434"/>
      <c r="Q64" s="434"/>
      <c r="R64" s="434"/>
      <c r="S64" s="434"/>
      <c r="T64" s="43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</row>
    <row r="65" spans="1:47" s="23" customFormat="1" x14ac:dyDescent="0.5">
      <c r="A65" s="3"/>
      <c r="B65" s="3"/>
      <c r="C65" s="3"/>
      <c r="D65" s="3"/>
      <c r="E65" s="1"/>
      <c r="F65" s="4"/>
      <c r="G65" s="106"/>
      <c r="H65" s="106"/>
      <c r="I65" s="106"/>
      <c r="J65" s="107"/>
      <c r="K65" s="190"/>
      <c r="L65" s="190"/>
      <c r="M65" s="106"/>
      <c r="N65" s="106"/>
      <c r="O65" s="441"/>
      <c r="P65" s="434"/>
      <c r="Q65" s="434"/>
      <c r="R65" s="434"/>
      <c r="S65" s="434"/>
      <c r="T65" s="43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</row>
  </sheetData>
  <autoFilter ref="O1:O65"/>
  <mergeCells count="21">
    <mergeCell ref="A1:N1"/>
    <mergeCell ref="A2:N2"/>
    <mergeCell ref="A3:N3"/>
    <mergeCell ref="B5:B8"/>
    <mergeCell ref="D5:D8"/>
    <mergeCell ref="E5:E8"/>
    <mergeCell ref="I5:I8"/>
    <mergeCell ref="N5:N8"/>
    <mergeCell ref="A5:A8"/>
    <mergeCell ref="R5:R8"/>
    <mergeCell ref="C5:C8"/>
    <mergeCell ref="F4:G4"/>
    <mergeCell ref="F6:F8"/>
    <mergeCell ref="G6:G8"/>
    <mergeCell ref="Q5:Q8"/>
    <mergeCell ref="J5:J8"/>
    <mergeCell ref="F5:H5"/>
    <mergeCell ref="H6:H8"/>
    <mergeCell ref="M5:M8"/>
    <mergeCell ref="K5:K8"/>
    <mergeCell ref="L5:L8"/>
  </mergeCells>
  <phoneticPr fontId="5" type="noConversion"/>
  <conditionalFormatting sqref="F19:F25">
    <cfRule type="cellIs" dxfId="68" priority="13" stopIfTrue="1" operator="between">
      <formula>2000001</formula>
      <formula>500000000</formula>
    </cfRule>
  </conditionalFormatting>
  <conditionalFormatting sqref="F11">
    <cfRule type="cellIs" dxfId="67" priority="11" stopIfTrue="1" operator="between">
      <formula>2000001</formula>
      <formula>500000000</formula>
    </cfRule>
  </conditionalFormatting>
  <conditionalFormatting sqref="F12">
    <cfRule type="cellIs" dxfId="66" priority="10" stopIfTrue="1" operator="between">
      <formula>2000001</formula>
      <formula>500000000</formula>
    </cfRule>
  </conditionalFormatting>
  <conditionalFormatting sqref="F13">
    <cfRule type="cellIs" dxfId="65" priority="9" stopIfTrue="1" operator="between">
      <formula>2000001</formula>
      <formula>500000000</formula>
    </cfRule>
  </conditionalFormatting>
  <conditionalFormatting sqref="F14:F16">
    <cfRule type="cellIs" dxfId="64" priority="8" stopIfTrue="1" operator="between">
      <formula>2000001</formula>
      <formula>500000000</formula>
    </cfRule>
  </conditionalFormatting>
  <conditionalFormatting sqref="F17">
    <cfRule type="cellIs" dxfId="63" priority="7" stopIfTrue="1" operator="between">
      <formula>2000001</formula>
      <formula>500000000</formula>
    </cfRule>
  </conditionalFormatting>
  <conditionalFormatting sqref="F11:F25">
    <cfRule type="cellIs" dxfId="62" priority="5" stopIfTrue="1" operator="greaterThan">
      <formula>500000001</formula>
    </cfRule>
    <cfRule type="cellIs" dxfId="61" priority="6" stopIfTrue="1" operator="greaterThan">
      <formula>500000001</formula>
    </cfRule>
  </conditionalFormatting>
  <conditionalFormatting sqref="F23">
    <cfRule type="cellIs" dxfId="60" priority="1" operator="greaterThan">
      <formula>500000001</formula>
    </cfRule>
    <cfRule type="cellIs" dxfId="59" priority="2" operator="greaterThan">
      <formula>500000001</formula>
    </cfRule>
    <cfRule type="cellIs" dxfId="58" priority="3" operator="greaterThan">
      <formula>500000001</formula>
    </cfRule>
    <cfRule type="cellIs" dxfId="57" priority="4" stopIfTrue="1" operator="greaterThan">
      <formula>500000001</formula>
    </cfRule>
  </conditionalFormatting>
  <pageMargins left="0.74803149606299213" right="0.74803149606299213" top="0.28000000000000003" bottom="0.34" header="0.19" footer="0.16"/>
  <pageSetup paperSize="9" scale="90" orientation="landscape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29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5703125" style="3" customWidth="1"/>
    <col min="4" max="4" width="6.42578125" style="3" customWidth="1"/>
    <col min="5" max="5" width="43" style="1" customWidth="1"/>
    <col min="6" max="6" width="14.5703125" style="4" customWidth="1"/>
    <col min="7" max="7" width="15.42578125" style="106" customWidth="1"/>
    <col min="8" max="8" width="15.42578125" style="106" hidden="1" customWidth="1"/>
    <col min="9" max="9" width="30.85546875" style="106" hidden="1" customWidth="1"/>
    <col min="10" max="10" width="13.140625" style="106" hidden="1" customWidth="1"/>
    <col min="11" max="11" width="12.28515625" style="156" hidden="1" customWidth="1"/>
    <col min="12" max="12" width="4.5703125" style="156" hidden="1" customWidth="1"/>
    <col min="13" max="14" width="30.85546875" style="106" customWidth="1"/>
    <col min="15" max="15" width="4.140625" style="441" customWidth="1"/>
    <col min="16" max="16" width="19.5703125" style="434" bestFit="1" customWidth="1"/>
    <col min="17" max="17" width="9.140625" style="434"/>
    <col min="18" max="18" width="14.5703125" style="434" bestFit="1" customWidth="1"/>
    <col min="19" max="19" width="9.140625" style="434"/>
    <col min="20" max="20" width="13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6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6"/>
      <c r="P2" s="435" t="s">
        <v>522</v>
      </c>
      <c r="Q2" s="434">
        <v>7</v>
      </c>
      <c r="R2" s="436" t="e">
        <f>+#REF!+#REF!+#REF!+#REF!+#REF!+#REF!+#REF!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6"/>
      <c r="P3" s="437" t="s">
        <v>523</v>
      </c>
      <c r="Q3" s="438">
        <v>6</v>
      </c>
      <c r="R3" s="439" t="e">
        <f>+#REF!+#REF!+#REF!+#REF!+#REF!+#REF!</f>
        <v>#REF!</v>
      </c>
      <c r="S3" s="440">
        <v>3</v>
      </c>
      <c r="T3" s="439" t="e">
        <f>+#REF!+#REF!+#REF!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151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56.25" x14ac:dyDescent="0.2">
      <c r="A11" s="486">
        <v>1</v>
      </c>
      <c r="B11" s="486"/>
      <c r="C11" s="529" t="s">
        <v>274</v>
      </c>
      <c r="D11" s="486" t="s">
        <v>11</v>
      </c>
      <c r="E11" s="530" t="s">
        <v>269</v>
      </c>
      <c r="F11" s="531">
        <v>3116000</v>
      </c>
      <c r="G11" s="488"/>
      <c r="H11" s="488"/>
      <c r="I11" s="554" t="s">
        <v>641</v>
      </c>
      <c r="J11" s="546"/>
      <c r="K11" s="547"/>
      <c r="L11" s="547"/>
      <c r="M11" s="554" t="s">
        <v>642</v>
      </c>
      <c r="N11" s="554"/>
      <c r="O11" s="464">
        <v>2</v>
      </c>
      <c r="P11" s="453"/>
      <c r="Q11" s="453"/>
      <c r="R11" s="453"/>
      <c r="S11" s="453"/>
      <c r="T11" s="453"/>
    </row>
    <row r="12" spans="1:39" s="19" customFormat="1" ht="108.75" x14ac:dyDescent="0.2">
      <c r="A12" s="486">
        <v>2</v>
      </c>
      <c r="B12" s="486"/>
      <c r="C12" s="529" t="s">
        <v>271</v>
      </c>
      <c r="D12" s="486" t="s">
        <v>11</v>
      </c>
      <c r="E12" s="530" t="s">
        <v>267</v>
      </c>
      <c r="F12" s="531">
        <v>212088400</v>
      </c>
      <c r="G12" s="488"/>
      <c r="H12" s="488"/>
      <c r="I12" s="554" t="s">
        <v>643</v>
      </c>
      <c r="J12" s="546"/>
      <c r="K12" s="547"/>
      <c r="L12" s="547"/>
      <c r="M12" s="554" t="s">
        <v>644</v>
      </c>
      <c r="N12" s="554"/>
      <c r="O12" s="464">
        <v>2</v>
      </c>
      <c r="P12" s="453"/>
      <c r="Q12" s="453"/>
      <c r="R12" s="453"/>
      <c r="S12" s="453"/>
      <c r="T12" s="453"/>
    </row>
    <row r="13" spans="1:39" s="19" customFormat="1" ht="217.5" x14ac:dyDescent="0.2">
      <c r="A13" s="486">
        <v>3</v>
      </c>
      <c r="B13" s="486"/>
      <c r="C13" s="529" t="s">
        <v>271</v>
      </c>
      <c r="D13" s="486" t="s">
        <v>11</v>
      </c>
      <c r="E13" s="530" t="s">
        <v>268</v>
      </c>
      <c r="F13" s="531">
        <v>10576600</v>
      </c>
      <c r="G13" s="488"/>
      <c r="H13" s="488"/>
      <c r="I13" s="645" t="s">
        <v>645</v>
      </c>
      <c r="J13" s="546"/>
      <c r="K13" s="547"/>
      <c r="L13" s="547"/>
      <c r="M13" s="554" t="s">
        <v>646</v>
      </c>
      <c r="N13" s="554"/>
      <c r="O13" s="464">
        <v>2</v>
      </c>
      <c r="P13" s="453"/>
      <c r="Q13" s="453"/>
      <c r="R13" s="453"/>
      <c r="S13" s="453"/>
      <c r="T13" s="453"/>
    </row>
    <row r="14" spans="1:39" s="9" customFormat="1" x14ac:dyDescent="0.2">
      <c r="A14" s="6"/>
      <c r="B14" s="6"/>
      <c r="C14" s="6"/>
      <c r="D14" s="6"/>
      <c r="E14" s="332"/>
      <c r="F14" s="333"/>
      <c r="G14" s="11"/>
      <c r="H14" s="11"/>
      <c r="I14" s="11"/>
      <c r="J14" s="11"/>
      <c r="K14" s="10"/>
      <c r="L14" s="10"/>
      <c r="M14" s="11"/>
      <c r="N14" s="11"/>
      <c r="O14" s="445"/>
      <c r="P14" s="437"/>
      <c r="Q14" s="437"/>
      <c r="R14" s="437"/>
      <c r="S14" s="437"/>
      <c r="T14" s="437"/>
    </row>
    <row r="15" spans="1:39" s="14" customFormat="1" x14ac:dyDescent="0.5">
      <c r="A15" s="241">
        <f>+A13</f>
        <v>3</v>
      </c>
      <c r="B15" s="241"/>
      <c r="C15" s="241"/>
      <c r="D15" s="241"/>
      <c r="E15" s="242" t="s">
        <v>47</v>
      </c>
      <c r="F15" s="329">
        <f>SUM(F11:F14)</f>
        <v>225781000</v>
      </c>
      <c r="G15" s="243">
        <f>SUM(G11:G14)</f>
        <v>0</v>
      </c>
      <c r="H15" s="243">
        <f>SUM(H11:H14)</f>
        <v>0</v>
      </c>
      <c r="I15" s="243"/>
      <c r="J15" s="243" t="e">
        <f>SUM(#REF!)</f>
        <v>#REF!</v>
      </c>
      <c r="K15" s="243" t="e">
        <f>SUM(#REF!)</f>
        <v>#REF!</v>
      </c>
      <c r="L15" s="243" t="e">
        <f>SUM(#REF!)</f>
        <v>#REF!</v>
      </c>
      <c r="M15" s="243"/>
      <c r="N15" s="243"/>
      <c r="O15" s="449"/>
      <c r="P15" s="450">
        <f>+F15+G15</f>
        <v>225781000</v>
      </c>
      <c r="Q15" s="451"/>
      <c r="R15" s="451"/>
      <c r="S15" s="452"/>
      <c r="T15" s="452"/>
    </row>
    <row r="16" spans="1:39" s="19" customFormat="1" x14ac:dyDescent="0.2">
      <c r="A16" s="17"/>
      <c r="B16" s="17"/>
      <c r="C16" s="17"/>
      <c r="D16" s="17"/>
      <c r="E16" s="30" t="s">
        <v>10</v>
      </c>
      <c r="F16" s="336"/>
      <c r="G16" s="34"/>
      <c r="H16" s="34"/>
      <c r="I16" s="34"/>
      <c r="J16" s="34"/>
      <c r="K16" s="18"/>
      <c r="L16" s="18"/>
      <c r="M16" s="34"/>
      <c r="N16" s="34"/>
      <c r="O16" s="445"/>
      <c r="P16" s="453"/>
      <c r="Q16" s="453"/>
      <c r="R16" s="453"/>
      <c r="S16" s="453"/>
      <c r="T16" s="453"/>
    </row>
    <row r="17" spans="1:47" s="19" customFormat="1" ht="108.75" x14ac:dyDescent="0.2">
      <c r="A17" s="486">
        <v>1</v>
      </c>
      <c r="B17" s="486"/>
      <c r="C17" s="529" t="s">
        <v>271</v>
      </c>
      <c r="D17" s="486" t="s">
        <v>11</v>
      </c>
      <c r="E17" s="530" t="s">
        <v>270</v>
      </c>
      <c r="F17" s="531">
        <v>14768000</v>
      </c>
      <c r="G17" s="492"/>
      <c r="H17" s="492"/>
      <c r="I17" s="554" t="s">
        <v>647</v>
      </c>
      <c r="J17" s="546"/>
      <c r="K17" s="547"/>
      <c r="L17" s="547"/>
      <c r="M17" s="554" t="s">
        <v>648</v>
      </c>
      <c r="N17" s="554"/>
      <c r="O17" s="464">
        <v>2</v>
      </c>
      <c r="P17" s="453"/>
      <c r="Q17" s="453"/>
      <c r="R17" s="453"/>
      <c r="S17" s="453"/>
      <c r="T17" s="453"/>
    </row>
    <row r="18" spans="1:47" s="19" customFormat="1" ht="108.75" x14ac:dyDescent="0.2">
      <c r="A18" s="486">
        <v>2</v>
      </c>
      <c r="B18" s="486"/>
      <c r="C18" s="529" t="s">
        <v>271</v>
      </c>
      <c r="D18" s="486" t="s">
        <v>11</v>
      </c>
      <c r="E18" s="530" t="s">
        <v>272</v>
      </c>
      <c r="F18" s="531">
        <v>24308700</v>
      </c>
      <c r="G18" s="492"/>
      <c r="H18" s="492"/>
      <c r="I18" s="554" t="s">
        <v>649</v>
      </c>
      <c r="J18" s="546"/>
      <c r="K18" s="547"/>
      <c r="L18" s="547"/>
      <c r="M18" s="554" t="s">
        <v>650</v>
      </c>
      <c r="N18" s="554"/>
      <c r="O18" s="464">
        <v>2</v>
      </c>
      <c r="P18" s="453"/>
      <c r="Q18" s="453"/>
      <c r="R18" s="453"/>
      <c r="S18" s="453"/>
      <c r="T18" s="453"/>
    </row>
    <row r="19" spans="1:47" s="19" customFormat="1" ht="108.75" x14ac:dyDescent="0.2">
      <c r="A19" s="486">
        <v>3</v>
      </c>
      <c r="B19" s="486"/>
      <c r="C19" s="529" t="s">
        <v>271</v>
      </c>
      <c r="D19" s="486" t="s">
        <v>11</v>
      </c>
      <c r="E19" s="530" t="s">
        <v>273</v>
      </c>
      <c r="F19" s="531">
        <v>23395400</v>
      </c>
      <c r="G19" s="492"/>
      <c r="H19" s="492"/>
      <c r="I19" s="646" t="s">
        <v>649</v>
      </c>
      <c r="J19" s="546"/>
      <c r="K19" s="547"/>
      <c r="L19" s="547"/>
      <c r="M19" s="646" t="s">
        <v>650</v>
      </c>
      <c r="N19" s="646"/>
      <c r="O19" s="464">
        <v>2</v>
      </c>
      <c r="P19" s="453"/>
      <c r="Q19" s="453"/>
      <c r="R19" s="453"/>
      <c r="S19" s="453"/>
      <c r="T19" s="453"/>
    </row>
    <row r="20" spans="1:47" s="9" customFormat="1" x14ac:dyDescent="0.2">
      <c r="A20" s="6"/>
      <c r="B20" s="271"/>
      <c r="C20" s="271"/>
      <c r="D20" s="271"/>
      <c r="E20" s="273"/>
      <c r="F20" s="337"/>
      <c r="G20" s="269"/>
      <c r="H20" s="269"/>
      <c r="I20" s="269"/>
      <c r="J20" s="11"/>
      <c r="K20" s="10"/>
      <c r="L20" s="10"/>
      <c r="M20" s="269"/>
      <c r="N20" s="269"/>
      <c r="O20" s="445"/>
      <c r="P20" s="437"/>
      <c r="Q20" s="437"/>
      <c r="R20" s="437"/>
      <c r="S20" s="437"/>
      <c r="T20" s="437"/>
    </row>
    <row r="21" spans="1:47" s="19" customFormat="1" ht="22.5" thickBot="1" x14ac:dyDescent="0.55000000000000004">
      <c r="A21" s="244">
        <f>+A19</f>
        <v>3</v>
      </c>
      <c r="B21" s="244"/>
      <c r="C21" s="244"/>
      <c r="D21" s="244"/>
      <c r="E21" s="245" t="s">
        <v>33</v>
      </c>
      <c r="F21" s="330">
        <f>SUM(F17:F20)</f>
        <v>62472100</v>
      </c>
      <c r="G21" s="246">
        <f>SUM(G17:G20)</f>
        <v>0</v>
      </c>
      <c r="H21" s="246">
        <f>SUM(H17:H20)</f>
        <v>0</v>
      </c>
      <c r="I21" s="246"/>
      <c r="J21" s="246">
        <f>SUM(J17:J20)</f>
        <v>0</v>
      </c>
      <c r="K21" s="246">
        <f>SUM(K17:K20)</f>
        <v>0</v>
      </c>
      <c r="L21" s="246">
        <f>SUM(L17:L20)</f>
        <v>0</v>
      </c>
      <c r="M21" s="246"/>
      <c r="N21" s="246"/>
      <c r="O21" s="443"/>
      <c r="P21" s="455">
        <f>+F21+G21</f>
        <v>62472100</v>
      </c>
      <c r="Q21" s="451"/>
      <c r="R21" s="451"/>
      <c r="S21" s="453"/>
      <c r="T21" s="453"/>
    </row>
    <row r="22" spans="1:47" s="28" customFormat="1" ht="22.5" thickBot="1" x14ac:dyDescent="0.55000000000000004">
      <c r="A22" s="247">
        <f>+A15+A21</f>
        <v>6</v>
      </c>
      <c r="B22" s="248"/>
      <c r="C22" s="248"/>
      <c r="D22" s="248"/>
      <c r="E22" s="248" t="s">
        <v>188</v>
      </c>
      <c r="F22" s="331">
        <f>F15+F21</f>
        <v>288253100</v>
      </c>
      <c r="G22" s="310">
        <f>+G15+G21</f>
        <v>0</v>
      </c>
      <c r="H22" s="310">
        <f>+H15+H21</f>
        <v>0</v>
      </c>
      <c r="I22" s="249"/>
      <c r="J22" s="249" t="e">
        <f>J15+J21</f>
        <v>#REF!</v>
      </c>
      <c r="K22" s="249" t="e">
        <f>K15+K21</f>
        <v>#REF!</v>
      </c>
      <c r="L22" s="249" t="e">
        <f>L15+L21</f>
        <v>#REF!</v>
      </c>
      <c r="M22" s="249"/>
      <c r="N22" s="249"/>
      <c r="O22" s="456"/>
      <c r="P22" s="436">
        <f>+P15+P21</f>
        <v>288253100</v>
      </c>
      <c r="Q22" s="457"/>
      <c r="R22" s="457"/>
      <c r="S22" s="434"/>
      <c r="T22" s="434"/>
      <c r="U22" s="2"/>
      <c r="V22" s="2"/>
      <c r="W22" s="2"/>
      <c r="X22" s="2"/>
      <c r="Y22" s="2"/>
      <c r="Z22" s="2"/>
      <c r="AA22" s="2"/>
      <c r="AB22" s="2"/>
    </row>
    <row r="23" spans="1:47" s="9" customFormat="1" x14ac:dyDescent="0.2">
      <c r="A23" s="15"/>
      <c r="B23" s="15"/>
      <c r="C23" s="15"/>
      <c r="D23" s="15"/>
      <c r="E23" s="31"/>
      <c r="F23" s="21"/>
      <c r="G23" s="20"/>
      <c r="H23" s="20"/>
      <c r="I23" s="20"/>
      <c r="J23" s="20"/>
      <c r="K23" s="104"/>
      <c r="L23" s="104"/>
      <c r="M23" s="20"/>
      <c r="N23" s="20"/>
      <c r="O23" s="445"/>
      <c r="P23" s="437"/>
      <c r="Q23" s="437"/>
      <c r="R23" s="437"/>
      <c r="S23" s="437"/>
      <c r="T23" s="437"/>
    </row>
    <row r="24" spans="1:47" s="9" customFormat="1" x14ac:dyDescent="0.5">
      <c r="A24" s="15"/>
      <c r="B24" s="15"/>
      <c r="C24" s="15"/>
      <c r="D24" s="15"/>
      <c r="E24" s="31"/>
      <c r="F24" s="35"/>
      <c r="G24" s="20"/>
      <c r="H24" s="20"/>
      <c r="I24" s="20"/>
      <c r="J24" s="20"/>
      <c r="K24" s="104"/>
      <c r="L24" s="104"/>
      <c r="M24" s="20"/>
      <c r="N24" s="20"/>
      <c r="O24" s="445"/>
      <c r="P24" s="437"/>
      <c r="Q24" s="437"/>
      <c r="R24" s="437"/>
      <c r="S24" s="437"/>
      <c r="T24" s="437"/>
    </row>
    <row r="26" spans="1:47" s="23" customFormat="1" x14ac:dyDescent="0.5">
      <c r="A26" s="22"/>
      <c r="B26" s="22"/>
      <c r="C26" s="22"/>
      <c r="D26" s="22"/>
      <c r="E26" s="81"/>
      <c r="F26" s="286"/>
      <c r="G26" s="125"/>
      <c r="H26" s="125"/>
      <c r="I26" s="125"/>
      <c r="J26" s="125"/>
      <c r="K26" s="190"/>
      <c r="L26" s="190"/>
      <c r="M26" s="125"/>
      <c r="N26" s="125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s="23" customFormat="1" x14ac:dyDescent="0.5">
      <c r="A27" s="22"/>
      <c r="B27" s="22"/>
      <c r="C27" s="22"/>
      <c r="D27" s="22"/>
      <c r="F27" s="25"/>
      <c r="G27" s="107"/>
      <c r="H27" s="107"/>
      <c r="I27" s="107"/>
      <c r="J27" s="107"/>
      <c r="K27" s="190"/>
      <c r="L27" s="190"/>
      <c r="M27" s="107"/>
      <c r="N27" s="107"/>
      <c r="O27" s="441"/>
      <c r="P27" s="434"/>
      <c r="Q27" s="434"/>
      <c r="R27" s="434"/>
      <c r="S27" s="434"/>
      <c r="T27" s="43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s="23" customFormat="1" x14ac:dyDescent="0.5">
      <c r="A28" s="22"/>
      <c r="B28" s="22"/>
      <c r="C28" s="22"/>
      <c r="D28" s="22"/>
      <c r="F28" s="25"/>
      <c r="G28" s="107"/>
      <c r="H28" s="107"/>
      <c r="I28" s="107"/>
      <c r="J28" s="107"/>
      <c r="K28" s="190"/>
      <c r="L28" s="190"/>
      <c r="M28" s="107"/>
      <c r="N28" s="107"/>
      <c r="O28" s="441"/>
      <c r="P28" s="434"/>
      <c r="Q28" s="434"/>
      <c r="R28" s="434"/>
      <c r="S28" s="434"/>
      <c r="T28" s="43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</row>
    <row r="29" spans="1:47" s="23" customFormat="1" x14ac:dyDescent="0.5">
      <c r="A29" s="22"/>
      <c r="B29" s="22"/>
      <c r="C29" s="22"/>
      <c r="D29" s="22"/>
      <c r="F29" s="25"/>
      <c r="G29" s="107"/>
      <c r="H29" s="107"/>
      <c r="I29" s="107"/>
      <c r="J29" s="107"/>
      <c r="K29" s="190"/>
      <c r="L29" s="190"/>
      <c r="M29" s="107"/>
      <c r="N29" s="107"/>
      <c r="O29" s="441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</sheetData>
  <autoFilter ref="O1:O29"/>
  <mergeCells count="21">
    <mergeCell ref="A1:N1"/>
    <mergeCell ref="A2:N2"/>
    <mergeCell ref="A3:N3"/>
    <mergeCell ref="D5:D8"/>
    <mergeCell ref="I5:I8"/>
    <mergeCell ref="F5:H5"/>
    <mergeCell ref="H6:H8"/>
    <mergeCell ref="N5:N8"/>
    <mergeCell ref="M5:M8"/>
    <mergeCell ref="A5:A8"/>
    <mergeCell ref="B5:B8"/>
    <mergeCell ref="R5:R8"/>
    <mergeCell ref="F4:G4"/>
    <mergeCell ref="F6:F8"/>
    <mergeCell ref="G6:G8"/>
    <mergeCell ref="C5:C8"/>
    <mergeCell ref="Q5:Q8"/>
    <mergeCell ref="K5:K8"/>
    <mergeCell ref="L5:L8"/>
    <mergeCell ref="J5:J8"/>
    <mergeCell ref="E5:E8"/>
  </mergeCells>
  <phoneticPr fontId="2" type="noConversion"/>
  <conditionalFormatting sqref="F11:F13">
    <cfRule type="cellIs" dxfId="56" priority="3" stopIfTrue="1" operator="between">
      <formula>2000001</formula>
      <formula>500000000</formula>
    </cfRule>
  </conditionalFormatting>
  <conditionalFormatting sqref="F17:F19">
    <cfRule type="cellIs" dxfId="55" priority="1" stopIfTrue="1" operator="between">
      <formula>2000001</formula>
      <formula>500000000</formula>
    </cfRule>
  </conditionalFormatting>
  <pageMargins left="0.74803149606299213" right="0.74803149606299213" top="0.39370078740157483" bottom="0.39370078740157483" header="0.19685039370078741" footer="0.27559055118110237"/>
  <pageSetup paperSize="9" scale="9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42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6.28515625" style="3" customWidth="1"/>
    <col min="2" max="2" width="6.140625" style="3" customWidth="1"/>
    <col min="3" max="3" width="7.5703125" style="3" customWidth="1"/>
    <col min="4" max="4" width="6.5703125" style="3" customWidth="1"/>
    <col min="5" max="5" width="42.85546875" style="1" customWidth="1"/>
    <col min="6" max="6" width="14.5703125" style="4" bestFit="1" customWidth="1"/>
    <col min="7" max="7" width="12.5703125" style="106" customWidth="1"/>
    <col min="8" max="8" width="12.5703125" style="106" hidden="1" customWidth="1"/>
    <col min="9" max="9" width="29.710937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29.7109375" style="106" customWidth="1"/>
    <col min="15" max="15" width="3.5703125" style="441" customWidth="1"/>
    <col min="16" max="16" width="19.5703125" style="434" bestFit="1" customWidth="1"/>
    <col min="17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6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6"/>
      <c r="P2" s="435" t="s">
        <v>522</v>
      </c>
      <c r="Q2" s="434" t="s">
        <v>209</v>
      </c>
      <c r="R2" s="436" t="s">
        <v>209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6"/>
      <c r="P3" s="437" t="s">
        <v>523</v>
      </c>
      <c r="Q3" s="438" t="s">
        <v>209</v>
      </c>
      <c r="R3" s="439" t="s">
        <v>209</v>
      </c>
      <c r="S3" s="440">
        <v>10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17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hidden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9" customFormat="1" hidden="1" x14ac:dyDescent="0.2">
      <c r="A11" s="271"/>
      <c r="B11" s="271"/>
      <c r="C11" s="271"/>
      <c r="D11" s="271"/>
      <c r="E11" s="273"/>
      <c r="F11" s="328"/>
      <c r="G11" s="269"/>
      <c r="H11" s="269"/>
      <c r="I11" s="360"/>
      <c r="J11" s="11"/>
      <c r="K11" s="10"/>
      <c r="L11" s="10"/>
      <c r="M11" s="360"/>
      <c r="N11" s="360"/>
      <c r="O11" s="445"/>
      <c r="P11" s="437"/>
      <c r="Q11" s="437"/>
      <c r="R11" s="437"/>
      <c r="S11" s="437"/>
      <c r="T11" s="437"/>
    </row>
    <row r="12" spans="1:39" s="9" customFormat="1" hidden="1" x14ac:dyDescent="0.2">
      <c r="A12" s="271"/>
      <c r="B12" s="271"/>
      <c r="C12" s="271"/>
      <c r="D12" s="271"/>
      <c r="E12" s="273"/>
      <c r="F12" s="328"/>
      <c r="G12" s="269"/>
      <c r="H12" s="269"/>
      <c r="I12" s="360"/>
      <c r="J12" s="11"/>
      <c r="K12" s="10"/>
      <c r="L12" s="10"/>
      <c r="M12" s="360"/>
      <c r="N12" s="360"/>
      <c r="O12" s="445"/>
      <c r="P12" s="437"/>
      <c r="Q12" s="437"/>
      <c r="R12" s="437"/>
      <c r="S12" s="437"/>
      <c r="T12" s="437"/>
    </row>
    <row r="13" spans="1:39" s="9" customFormat="1" hidden="1" x14ac:dyDescent="0.2">
      <c r="A13" s="271"/>
      <c r="B13" s="271"/>
      <c r="C13" s="271"/>
      <c r="D13" s="271"/>
      <c r="E13" s="273"/>
      <c r="F13" s="328"/>
      <c r="G13" s="269"/>
      <c r="H13" s="269"/>
      <c r="I13" s="360"/>
      <c r="J13" s="11"/>
      <c r="K13" s="10"/>
      <c r="L13" s="10"/>
      <c r="M13" s="360"/>
      <c r="N13" s="360"/>
      <c r="O13" s="445"/>
      <c r="P13" s="437"/>
      <c r="Q13" s="437"/>
      <c r="R13" s="437"/>
      <c r="S13" s="437"/>
      <c r="T13" s="437"/>
    </row>
    <row r="14" spans="1:39" s="9" customFormat="1" hidden="1" x14ac:dyDescent="0.2">
      <c r="A14" s="271"/>
      <c r="B14" s="271"/>
      <c r="C14" s="271"/>
      <c r="D14" s="271"/>
      <c r="E14" s="273"/>
      <c r="F14" s="328"/>
      <c r="G14" s="269"/>
      <c r="H14" s="269"/>
      <c r="I14" s="360"/>
      <c r="J14" s="11"/>
      <c r="K14" s="10"/>
      <c r="L14" s="10"/>
      <c r="M14" s="360"/>
      <c r="N14" s="360"/>
      <c r="O14" s="445"/>
      <c r="P14" s="437"/>
      <c r="Q14" s="437"/>
      <c r="R14" s="437"/>
      <c r="S14" s="437"/>
      <c r="T14" s="437"/>
    </row>
    <row r="15" spans="1:39" s="9" customFormat="1" ht="113.25" hidden="1" customHeight="1" x14ac:dyDescent="0.2">
      <c r="A15" s="271"/>
      <c r="B15" s="271"/>
      <c r="C15" s="271"/>
      <c r="D15" s="271"/>
      <c r="E15" s="273"/>
      <c r="F15" s="328"/>
      <c r="G15" s="269"/>
      <c r="H15" s="269"/>
      <c r="I15" s="360"/>
      <c r="J15" s="11"/>
      <c r="K15" s="10"/>
      <c r="L15" s="10"/>
      <c r="M15" s="360"/>
      <c r="N15" s="360"/>
      <c r="O15" s="445"/>
      <c r="P15" s="437"/>
      <c r="Q15" s="437"/>
      <c r="R15" s="437"/>
      <c r="S15" s="437"/>
      <c r="T15" s="437"/>
    </row>
    <row r="16" spans="1:39" s="9" customFormat="1" hidden="1" x14ac:dyDescent="0.2">
      <c r="A16" s="6"/>
      <c r="B16" s="6"/>
      <c r="C16" s="6"/>
      <c r="D16" s="6"/>
      <c r="E16" s="332"/>
      <c r="F16" s="333"/>
      <c r="G16" s="11"/>
      <c r="H16" s="11"/>
      <c r="I16" s="360"/>
      <c r="J16" s="11"/>
      <c r="K16" s="10"/>
      <c r="L16" s="10"/>
      <c r="M16" s="360"/>
      <c r="N16" s="360"/>
      <c r="O16" s="445"/>
      <c r="P16" s="437"/>
      <c r="Q16" s="437"/>
      <c r="R16" s="437"/>
      <c r="S16" s="437"/>
      <c r="T16" s="437"/>
    </row>
    <row r="17" spans="1:20" s="9" customFormat="1" hidden="1" x14ac:dyDescent="0.2">
      <c r="A17" s="6"/>
      <c r="B17" s="6"/>
      <c r="C17" s="6"/>
      <c r="D17" s="6"/>
      <c r="E17" s="332"/>
      <c r="F17" s="333"/>
      <c r="G17" s="11"/>
      <c r="H17" s="11"/>
      <c r="I17" s="11"/>
      <c r="J17" s="11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20" s="9" customFormat="1" hidden="1" x14ac:dyDescent="0.2">
      <c r="A18" s="6"/>
      <c r="B18" s="6"/>
      <c r="C18" s="6"/>
      <c r="D18" s="6"/>
      <c r="E18" s="332"/>
      <c r="F18" s="333"/>
      <c r="G18" s="11"/>
      <c r="H18" s="11"/>
      <c r="I18" s="11"/>
      <c r="J18" s="11"/>
      <c r="K18" s="10"/>
      <c r="L18" s="10"/>
      <c r="M18" s="11"/>
      <c r="N18" s="11"/>
      <c r="O18" s="445"/>
      <c r="P18" s="437"/>
      <c r="Q18" s="437"/>
      <c r="R18" s="437"/>
      <c r="S18" s="437"/>
      <c r="T18" s="437"/>
    </row>
    <row r="19" spans="1:20" s="9" customFormat="1" hidden="1" x14ac:dyDescent="0.2">
      <c r="A19" s="6"/>
      <c r="B19" s="6"/>
      <c r="C19" s="6"/>
      <c r="D19" s="6"/>
      <c r="E19" s="332"/>
      <c r="F19" s="333"/>
      <c r="G19" s="11"/>
      <c r="H19" s="11"/>
      <c r="I19" s="11"/>
      <c r="J19" s="11"/>
      <c r="K19" s="10"/>
      <c r="L19" s="10"/>
      <c r="M19" s="11"/>
      <c r="N19" s="11"/>
      <c r="O19" s="445"/>
      <c r="P19" s="437"/>
      <c r="Q19" s="437"/>
      <c r="R19" s="437"/>
      <c r="S19" s="437"/>
      <c r="T19" s="437"/>
    </row>
    <row r="20" spans="1:20" s="9" customFormat="1" hidden="1" x14ac:dyDescent="0.2">
      <c r="A20" s="6"/>
      <c r="B20" s="6"/>
      <c r="C20" s="6"/>
      <c r="D20" s="6"/>
      <c r="E20" s="332"/>
      <c r="F20" s="333"/>
      <c r="G20" s="11"/>
      <c r="H20" s="11"/>
      <c r="I20" s="11"/>
      <c r="J20" s="11"/>
      <c r="K20" s="10"/>
      <c r="L20" s="10"/>
      <c r="M20" s="11"/>
      <c r="N20" s="11"/>
      <c r="O20" s="445"/>
      <c r="P20" s="437"/>
      <c r="Q20" s="437"/>
      <c r="R20" s="437"/>
      <c r="S20" s="437"/>
      <c r="T20" s="437"/>
    </row>
    <row r="21" spans="1:20" s="9" customFormat="1" hidden="1" x14ac:dyDescent="0.2">
      <c r="A21" s="6"/>
      <c r="B21" s="13"/>
      <c r="C21" s="13"/>
      <c r="D21" s="13"/>
      <c r="E21" s="332"/>
      <c r="F21" s="333"/>
      <c r="G21" s="11"/>
      <c r="H21" s="11"/>
      <c r="I21" s="11"/>
      <c r="J21" s="11"/>
      <c r="K21" s="10"/>
      <c r="L21" s="10"/>
      <c r="M21" s="11"/>
      <c r="N21" s="11"/>
      <c r="O21" s="445"/>
      <c r="P21" s="437"/>
      <c r="Q21" s="437"/>
      <c r="R21" s="437"/>
      <c r="S21" s="437"/>
      <c r="T21" s="437"/>
    </row>
    <row r="22" spans="1:20" s="14" customFormat="1" hidden="1" x14ac:dyDescent="0.5">
      <c r="A22" s="241">
        <f>+A20</f>
        <v>0</v>
      </c>
      <c r="B22" s="241"/>
      <c r="C22" s="241"/>
      <c r="D22" s="241"/>
      <c r="E22" s="242" t="s">
        <v>47</v>
      </c>
      <c r="F22" s="329">
        <f>SUM(F11:F21)</f>
        <v>0</v>
      </c>
      <c r="G22" s="329">
        <f>SUM(G11:G21)</f>
        <v>0</v>
      </c>
      <c r="H22" s="329">
        <f>SUM(H11:H21)</f>
        <v>0</v>
      </c>
      <c r="I22" s="243"/>
      <c r="J22" s="243">
        <f>SUM(J21:J21)</f>
        <v>0</v>
      </c>
      <c r="K22" s="243">
        <f>SUM(K21:K21)</f>
        <v>0</v>
      </c>
      <c r="L22" s="243">
        <f>SUM(L21:L21)</f>
        <v>0</v>
      </c>
      <c r="M22" s="243"/>
      <c r="N22" s="243"/>
      <c r="O22" s="449"/>
      <c r="P22" s="450">
        <f>+F22+G22</f>
        <v>0</v>
      </c>
      <c r="Q22" s="451"/>
      <c r="R22" s="451"/>
      <c r="S22" s="452"/>
      <c r="T22" s="452"/>
    </row>
    <row r="23" spans="1:20" s="19" customFormat="1" x14ac:dyDescent="0.2">
      <c r="A23" s="17"/>
      <c r="B23" s="17"/>
      <c r="C23" s="17"/>
      <c r="D23" s="17"/>
      <c r="E23" s="30" t="s">
        <v>10</v>
      </c>
      <c r="F23" s="336"/>
      <c r="G23" s="34"/>
      <c r="H23" s="34"/>
      <c r="I23" s="34"/>
      <c r="J23" s="34"/>
      <c r="K23" s="18"/>
      <c r="L23" s="18"/>
      <c r="M23" s="34"/>
      <c r="N23" s="34"/>
      <c r="O23" s="445"/>
      <c r="P23" s="453"/>
      <c r="Q23" s="453"/>
      <c r="R23" s="453"/>
      <c r="S23" s="453"/>
      <c r="T23" s="453"/>
    </row>
    <row r="24" spans="1:20" s="302" customFormat="1" ht="108.75" x14ac:dyDescent="0.2">
      <c r="A24" s="486">
        <v>1</v>
      </c>
      <c r="B24" s="486"/>
      <c r="C24" s="621" t="s">
        <v>443</v>
      </c>
      <c r="D24" s="486" t="s">
        <v>17</v>
      </c>
      <c r="E24" s="630" t="s">
        <v>444</v>
      </c>
      <c r="F24" s="602">
        <v>15371500</v>
      </c>
      <c r="G24" s="488"/>
      <c r="H24" s="488"/>
      <c r="I24" s="554" t="s">
        <v>651</v>
      </c>
      <c r="J24" s="513"/>
      <c r="K24" s="514"/>
      <c r="L24" s="514"/>
      <c r="M24" s="554" t="s">
        <v>652</v>
      </c>
      <c r="N24" s="554"/>
      <c r="O24" s="469">
        <v>2</v>
      </c>
      <c r="P24" s="454"/>
      <c r="Q24" s="454"/>
      <c r="R24" s="454"/>
      <c r="S24" s="454"/>
      <c r="T24" s="454"/>
    </row>
    <row r="25" spans="1:20" s="302" customFormat="1" ht="87" x14ac:dyDescent="0.2">
      <c r="A25" s="486">
        <v>2</v>
      </c>
      <c r="B25" s="486"/>
      <c r="C25" s="621" t="s">
        <v>443</v>
      </c>
      <c r="D25" s="486" t="s">
        <v>17</v>
      </c>
      <c r="E25" s="630" t="s">
        <v>438</v>
      </c>
      <c r="F25" s="602">
        <v>22373100</v>
      </c>
      <c r="G25" s="488"/>
      <c r="H25" s="488"/>
      <c r="I25" s="647" t="s">
        <v>653</v>
      </c>
      <c r="J25" s="513"/>
      <c r="K25" s="514"/>
      <c r="L25" s="514"/>
      <c r="M25" s="647" t="s">
        <v>654</v>
      </c>
      <c r="N25" s="647"/>
      <c r="O25" s="469">
        <v>2</v>
      </c>
      <c r="P25" s="454"/>
      <c r="Q25" s="454"/>
      <c r="R25" s="454"/>
      <c r="S25" s="454"/>
      <c r="T25" s="454"/>
    </row>
    <row r="26" spans="1:20" s="302" customFormat="1" ht="152.25" x14ac:dyDescent="0.2">
      <c r="A26" s="486">
        <v>3</v>
      </c>
      <c r="B26" s="486"/>
      <c r="C26" s="621" t="s">
        <v>443</v>
      </c>
      <c r="D26" s="486" t="s">
        <v>17</v>
      </c>
      <c r="E26" s="630" t="s">
        <v>439</v>
      </c>
      <c r="F26" s="602">
        <v>28408700</v>
      </c>
      <c r="G26" s="488"/>
      <c r="H26" s="488"/>
      <c r="I26" s="618" t="s">
        <v>653</v>
      </c>
      <c r="J26" s="513"/>
      <c r="K26" s="514"/>
      <c r="L26" s="514"/>
      <c r="M26" s="618" t="s">
        <v>655</v>
      </c>
      <c r="N26" s="618"/>
      <c r="O26" s="469">
        <v>2</v>
      </c>
      <c r="P26" s="454"/>
      <c r="Q26" s="454"/>
      <c r="R26" s="454"/>
      <c r="S26" s="454"/>
      <c r="T26" s="454"/>
    </row>
    <row r="27" spans="1:20" s="302" customFormat="1" ht="87" x14ac:dyDescent="0.2">
      <c r="A27" s="486">
        <v>4</v>
      </c>
      <c r="B27" s="486"/>
      <c r="C27" s="621" t="s">
        <v>443</v>
      </c>
      <c r="D27" s="486" t="s">
        <v>17</v>
      </c>
      <c r="E27" s="630" t="s">
        <v>441</v>
      </c>
      <c r="F27" s="602">
        <v>27966400</v>
      </c>
      <c r="G27" s="488"/>
      <c r="H27" s="488"/>
      <c r="I27" s="618" t="s">
        <v>656</v>
      </c>
      <c r="J27" s="513"/>
      <c r="K27" s="514"/>
      <c r="L27" s="514"/>
      <c r="M27" s="618" t="s">
        <v>657</v>
      </c>
      <c r="N27" s="618"/>
      <c r="O27" s="469">
        <v>2</v>
      </c>
      <c r="P27" s="454"/>
      <c r="Q27" s="454"/>
      <c r="R27" s="454"/>
      <c r="S27" s="454"/>
      <c r="T27" s="454"/>
    </row>
    <row r="28" spans="1:20" s="302" customFormat="1" ht="108.75" x14ac:dyDescent="0.2">
      <c r="A28" s="486">
        <v>5</v>
      </c>
      <c r="B28" s="486"/>
      <c r="C28" s="621" t="s">
        <v>443</v>
      </c>
      <c r="D28" s="486" t="s">
        <v>17</v>
      </c>
      <c r="E28" s="630" t="s">
        <v>442</v>
      </c>
      <c r="F28" s="602">
        <v>27740300</v>
      </c>
      <c r="G28" s="488"/>
      <c r="H28" s="488"/>
      <c r="I28" s="648" t="s">
        <v>653</v>
      </c>
      <c r="J28" s="513"/>
      <c r="K28" s="514"/>
      <c r="L28" s="514"/>
      <c r="M28" s="648" t="s">
        <v>658</v>
      </c>
      <c r="N28" s="648"/>
      <c r="O28" s="469">
        <v>2</v>
      </c>
      <c r="P28" s="454"/>
      <c r="Q28" s="454"/>
      <c r="R28" s="454"/>
      <c r="S28" s="454"/>
      <c r="T28" s="454"/>
    </row>
    <row r="29" spans="1:20" s="302" customFormat="1" ht="108.75" x14ac:dyDescent="0.2">
      <c r="A29" s="486">
        <v>6</v>
      </c>
      <c r="B29" s="486"/>
      <c r="C29" s="621" t="s">
        <v>443</v>
      </c>
      <c r="D29" s="486" t="s">
        <v>17</v>
      </c>
      <c r="E29" s="630" t="s">
        <v>436</v>
      </c>
      <c r="F29" s="602">
        <v>23328300</v>
      </c>
      <c r="G29" s="488"/>
      <c r="H29" s="488"/>
      <c r="I29" s="649" t="s">
        <v>653</v>
      </c>
      <c r="J29" s="513"/>
      <c r="K29" s="514"/>
      <c r="L29" s="514"/>
      <c r="M29" s="649" t="s">
        <v>659</v>
      </c>
      <c r="N29" s="649"/>
      <c r="O29" s="469">
        <v>2</v>
      </c>
      <c r="P29" s="454"/>
      <c r="Q29" s="454"/>
      <c r="R29" s="454"/>
      <c r="S29" s="454"/>
      <c r="T29" s="454"/>
    </row>
    <row r="30" spans="1:20" s="302" customFormat="1" ht="71.25" x14ac:dyDescent="0.2">
      <c r="A30" s="486">
        <v>7</v>
      </c>
      <c r="B30" s="486"/>
      <c r="C30" s="621" t="s">
        <v>443</v>
      </c>
      <c r="D30" s="486" t="s">
        <v>17</v>
      </c>
      <c r="E30" s="630" t="s">
        <v>437</v>
      </c>
      <c r="F30" s="602">
        <v>26585300</v>
      </c>
      <c r="G30" s="488"/>
      <c r="H30" s="488"/>
      <c r="I30" s="650" t="s">
        <v>653</v>
      </c>
      <c r="J30" s="513"/>
      <c r="K30" s="514"/>
      <c r="L30" s="514"/>
      <c r="M30" s="650" t="s">
        <v>660</v>
      </c>
      <c r="N30" s="650"/>
      <c r="O30" s="469">
        <v>2</v>
      </c>
      <c r="P30" s="454"/>
      <c r="Q30" s="454"/>
      <c r="R30" s="454"/>
      <c r="S30" s="454"/>
      <c r="T30" s="454"/>
    </row>
    <row r="31" spans="1:20" s="302" customFormat="1" ht="87" x14ac:dyDescent="0.2">
      <c r="A31" s="486">
        <v>8</v>
      </c>
      <c r="B31" s="486"/>
      <c r="C31" s="621" t="s">
        <v>443</v>
      </c>
      <c r="D31" s="486" t="s">
        <v>17</v>
      </c>
      <c r="E31" s="630" t="s">
        <v>440</v>
      </c>
      <c r="F31" s="602">
        <v>29017200</v>
      </c>
      <c r="G31" s="488"/>
      <c r="H31" s="488"/>
      <c r="I31" s="648" t="s">
        <v>553</v>
      </c>
      <c r="J31" s="513"/>
      <c r="K31" s="514"/>
      <c r="L31" s="514"/>
      <c r="M31" s="648" t="s">
        <v>661</v>
      </c>
      <c r="N31" s="648"/>
      <c r="O31" s="469">
        <v>2</v>
      </c>
      <c r="P31" s="454"/>
      <c r="Q31" s="454"/>
      <c r="R31" s="454"/>
      <c r="S31" s="454"/>
      <c r="T31" s="454"/>
    </row>
    <row r="32" spans="1:20" s="9" customFormat="1" x14ac:dyDescent="0.2">
      <c r="A32" s="6"/>
      <c r="B32" s="6"/>
      <c r="C32" s="6"/>
      <c r="D32" s="6"/>
      <c r="E32" s="7"/>
      <c r="F32" s="335" t="s">
        <v>204</v>
      </c>
      <c r="G32" s="11"/>
      <c r="H32" s="11"/>
      <c r="I32" s="11"/>
      <c r="J32" s="11"/>
      <c r="K32" s="10"/>
      <c r="L32" s="10"/>
      <c r="M32" s="11"/>
      <c r="N32" s="11"/>
      <c r="O32" s="445"/>
      <c r="P32" s="437"/>
      <c r="Q32" s="437"/>
      <c r="R32" s="437"/>
      <c r="S32" s="437"/>
      <c r="T32" s="437"/>
    </row>
    <row r="33" spans="1:47" s="19" customFormat="1" ht="22.5" thickBot="1" x14ac:dyDescent="0.55000000000000004">
      <c r="A33" s="244">
        <f>+A31</f>
        <v>8</v>
      </c>
      <c r="B33" s="244"/>
      <c r="C33" s="244"/>
      <c r="D33" s="244"/>
      <c r="E33" s="245" t="s">
        <v>33</v>
      </c>
      <c r="F33" s="330">
        <f>SUM(F24:F32)</f>
        <v>200790800</v>
      </c>
      <c r="G33" s="246">
        <f>SUM(G24:G32)</f>
        <v>0</v>
      </c>
      <c r="H33" s="246">
        <f>SUM(H24:H32)</f>
        <v>0</v>
      </c>
      <c r="I33" s="246"/>
      <c r="J33" s="246">
        <f>SUM(J24:J32)</f>
        <v>0</v>
      </c>
      <c r="K33" s="246">
        <f>SUM(K24:K32)</f>
        <v>0</v>
      </c>
      <c r="L33" s="246">
        <f>SUM(L24:L32)</f>
        <v>0</v>
      </c>
      <c r="M33" s="246"/>
      <c r="N33" s="246"/>
      <c r="O33" s="443"/>
      <c r="P33" s="455">
        <f>+F33+G33</f>
        <v>200790800</v>
      </c>
      <c r="Q33" s="451"/>
      <c r="R33" s="451"/>
      <c r="S33" s="453"/>
      <c r="T33" s="453"/>
    </row>
    <row r="34" spans="1:47" s="28" customFormat="1" ht="22.5" thickBot="1" x14ac:dyDescent="0.55000000000000004">
      <c r="A34" s="247">
        <f>+A22+A33</f>
        <v>8</v>
      </c>
      <c r="B34" s="248"/>
      <c r="C34" s="248"/>
      <c r="D34" s="248"/>
      <c r="E34" s="248" t="s">
        <v>187</v>
      </c>
      <c r="F34" s="331">
        <f>F22+F33</f>
        <v>200790800</v>
      </c>
      <c r="G34" s="249">
        <f>+G22+G33</f>
        <v>0</v>
      </c>
      <c r="H34" s="249">
        <f>+H22+H33</f>
        <v>0</v>
      </c>
      <c r="I34" s="249"/>
      <c r="J34" s="249">
        <f>J22+J33</f>
        <v>0</v>
      </c>
      <c r="K34" s="249">
        <f>K22+K33</f>
        <v>0</v>
      </c>
      <c r="L34" s="249">
        <f>L22+L33</f>
        <v>0</v>
      </c>
      <c r="M34" s="249"/>
      <c r="N34" s="249"/>
      <c r="O34" s="456"/>
      <c r="P34" s="436">
        <f>+P22+P33</f>
        <v>200790800</v>
      </c>
      <c r="Q34" s="457"/>
      <c r="R34" s="457"/>
      <c r="S34" s="434"/>
      <c r="T34" s="434"/>
      <c r="U34" s="2"/>
      <c r="V34" s="2"/>
      <c r="W34" s="2"/>
      <c r="X34" s="2"/>
      <c r="Y34" s="2"/>
      <c r="Z34" s="2"/>
      <c r="AA34" s="2"/>
      <c r="AB34" s="2"/>
    </row>
    <row r="35" spans="1:47" s="9" customFormat="1" x14ac:dyDescent="0.2">
      <c r="A35" s="15"/>
      <c r="B35" s="15"/>
      <c r="C35" s="15"/>
      <c r="D35" s="15"/>
      <c r="E35" s="31"/>
      <c r="F35" s="21"/>
      <c r="G35" s="20"/>
      <c r="H35" s="20"/>
      <c r="I35" s="20"/>
      <c r="J35" s="20"/>
      <c r="K35" s="104"/>
      <c r="L35" s="104"/>
      <c r="M35" s="20"/>
      <c r="N35" s="20"/>
      <c r="O35" s="445"/>
      <c r="P35" s="437"/>
      <c r="Q35" s="437"/>
      <c r="R35" s="437"/>
      <c r="S35" s="437"/>
      <c r="T35" s="437"/>
    </row>
    <row r="36" spans="1:47" s="9" customFormat="1" x14ac:dyDescent="0.5">
      <c r="A36" s="15"/>
      <c r="B36" s="15"/>
      <c r="C36" s="15"/>
      <c r="D36" s="15"/>
      <c r="E36" s="31"/>
      <c r="F36" s="35"/>
      <c r="G36" s="20"/>
      <c r="H36" s="20"/>
      <c r="I36" s="20"/>
      <c r="J36" s="20"/>
      <c r="K36" s="104"/>
      <c r="L36" s="104"/>
      <c r="M36" s="20"/>
      <c r="N36" s="20"/>
      <c r="O36" s="445"/>
      <c r="P36" s="437"/>
      <c r="Q36" s="437"/>
      <c r="R36" s="437"/>
      <c r="S36" s="437"/>
      <c r="T36" s="437"/>
    </row>
    <row r="37" spans="1:47" s="9" customFormat="1" x14ac:dyDescent="0.5">
      <c r="A37" s="15"/>
      <c r="B37" s="15"/>
      <c r="C37" s="15"/>
      <c r="D37" s="15"/>
      <c r="E37" s="31"/>
      <c r="F37" s="35"/>
      <c r="G37" s="20"/>
      <c r="H37" s="20"/>
      <c r="I37" s="20"/>
      <c r="J37" s="20"/>
      <c r="K37" s="104"/>
      <c r="L37" s="104"/>
      <c r="M37" s="20"/>
      <c r="N37" s="20"/>
      <c r="O37" s="445"/>
      <c r="P37" s="437"/>
      <c r="Q37" s="437"/>
      <c r="R37" s="437"/>
      <c r="S37" s="437"/>
      <c r="T37" s="437"/>
    </row>
    <row r="39" spans="1:47" s="23" customFormat="1" ht="22.5" thickBot="1" x14ac:dyDescent="0.55000000000000004">
      <c r="A39" s="22"/>
      <c r="B39" s="22"/>
      <c r="C39" s="22"/>
      <c r="D39" s="22"/>
      <c r="E39" s="81" t="s">
        <v>99</v>
      </c>
      <c r="F39" s="82"/>
      <c r="G39" s="238"/>
      <c r="H39" s="125"/>
      <c r="I39" s="125"/>
      <c r="J39" s="125"/>
      <c r="K39" s="190"/>
      <c r="L39" s="190"/>
      <c r="M39" s="125"/>
      <c r="N39" s="125"/>
      <c r="O39" s="441"/>
      <c r="P39" s="434"/>
      <c r="Q39" s="434"/>
      <c r="R39" s="434"/>
      <c r="S39" s="434"/>
      <c r="T39" s="43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</row>
    <row r="40" spans="1:47" s="23" customFormat="1" ht="22.5" thickTop="1" x14ac:dyDescent="0.5">
      <c r="A40" s="22"/>
      <c r="B40" s="22"/>
      <c r="C40" s="22"/>
      <c r="D40" s="22"/>
      <c r="E40" s="23" t="s">
        <v>25</v>
      </c>
      <c r="F40" s="25"/>
      <c r="G40" s="107"/>
      <c r="H40" s="107"/>
      <c r="I40" s="107"/>
      <c r="J40" s="107"/>
      <c r="K40" s="190"/>
      <c r="L40" s="190"/>
      <c r="M40" s="107"/>
      <c r="N40" s="107"/>
      <c r="O40" s="441"/>
      <c r="P40" s="434"/>
      <c r="Q40" s="434"/>
      <c r="R40" s="434"/>
      <c r="S40" s="434"/>
      <c r="T40" s="43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</row>
    <row r="41" spans="1:47" s="23" customFormat="1" x14ac:dyDescent="0.5">
      <c r="A41" s="22"/>
      <c r="B41" s="22"/>
      <c r="C41" s="22"/>
      <c r="D41" s="22"/>
      <c r="E41" s="23" t="s">
        <v>98</v>
      </c>
      <c r="F41" s="25"/>
      <c r="G41" s="107"/>
      <c r="H41" s="107"/>
      <c r="I41" s="107"/>
      <c r="J41" s="107"/>
      <c r="K41" s="190"/>
      <c r="L41" s="190"/>
      <c r="M41" s="107"/>
      <c r="N41" s="107"/>
      <c r="O41" s="441"/>
      <c r="P41" s="434"/>
      <c r="Q41" s="434"/>
      <c r="R41" s="434"/>
      <c r="S41" s="434"/>
      <c r="T41" s="43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</row>
    <row r="42" spans="1:47" s="23" customFormat="1" x14ac:dyDescent="0.5">
      <c r="A42" s="22"/>
      <c r="B42" s="22"/>
      <c r="C42" s="22"/>
      <c r="D42" s="22"/>
      <c r="E42" s="23" t="s">
        <v>18</v>
      </c>
      <c r="F42" s="25"/>
      <c r="G42" s="107"/>
      <c r="H42" s="107"/>
      <c r="I42" s="107"/>
      <c r="J42" s="107"/>
      <c r="K42" s="190"/>
      <c r="L42" s="190"/>
      <c r="M42" s="107"/>
      <c r="N42" s="107"/>
      <c r="O42" s="441"/>
      <c r="P42" s="434"/>
      <c r="Q42" s="434"/>
      <c r="R42" s="434"/>
      <c r="S42" s="434"/>
      <c r="T42" s="43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</row>
  </sheetData>
  <autoFilter ref="O1:O42"/>
  <mergeCells count="21">
    <mergeCell ref="R5:R8"/>
    <mergeCell ref="G6:G8"/>
    <mergeCell ref="A5:A8"/>
    <mergeCell ref="Q5:Q8"/>
    <mergeCell ref="J5:J8"/>
    <mergeCell ref="E5:E8"/>
    <mergeCell ref="D5:D8"/>
    <mergeCell ref="I5:I8"/>
    <mergeCell ref="F5:H5"/>
    <mergeCell ref="H6:H8"/>
    <mergeCell ref="M5:M8"/>
    <mergeCell ref="K5:K8"/>
    <mergeCell ref="L5:L8"/>
    <mergeCell ref="N5:N8"/>
    <mergeCell ref="C5:C8"/>
    <mergeCell ref="B5:B8"/>
    <mergeCell ref="F4:G4"/>
    <mergeCell ref="F6:F8"/>
    <mergeCell ref="A1:N1"/>
    <mergeCell ref="A2:N2"/>
    <mergeCell ref="A3:N3"/>
  </mergeCells>
  <phoneticPr fontId="2" type="noConversion"/>
  <conditionalFormatting sqref="F29:F31">
    <cfRule type="cellIs" dxfId="54" priority="4" stopIfTrue="1" operator="between">
      <formula>2000001</formula>
      <formula>500000000</formula>
    </cfRule>
  </conditionalFormatting>
  <conditionalFormatting sqref="F24">
    <cfRule type="cellIs" dxfId="53" priority="3" stopIfTrue="1" operator="between">
      <formula>2000001</formula>
      <formula>500000000</formula>
    </cfRule>
  </conditionalFormatting>
  <conditionalFormatting sqref="F25:F26">
    <cfRule type="cellIs" dxfId="52" priority="2" stopIfTrue="1" operator="between">
      <formula>2000001</formula>
      <formula>500000000</formula>
    </cfRule>
  </conditionalFormatting>
  <conditionalFormatting sqref="F27:F28">
    <cfRule type="cellIs" dxfId="51" priority="1" stopIfTrue="1" operator="between">
      <formula>2000001</formula>
      <formula>500000000</formula>
    </cfRule>
  </conditionalFormatting>
  <pageMargins left="0.70866141732283472" right="0.6692913385826772" top="0.39370078740157483" bottom="0.39370078740157483" header="0.51181102362204722" footer="0.51181102362204722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opLeftCell="A10" zoomScale="70" zoomScaleNormal="70" workbookViewId="0">
      <selection activeCell="H30" sqref="H30"/>
    </sheetView>
  </sheetViews>
  <sheetFormatPr defaultRowHeight="12.75" x14ac:dyDescent="0.2"/>
  <cols>
    <col min="1" max="1" width="5.5703125" customWidth="1"/>
    <col min="2" max="2" width="8.85546875" customWidth="1"/>
    <col min="3" max="3" width="7.7109375" customWidth="1"/>
    <col min="4" max="4" width="16.42578125" hidden="1" customWidth="1"/>
    <col min="5" max="7" width="13.7109375" customWidth="1"/>
    <col min="8" max="8" width="7.7109375" style="740" customWidth="1"/>
    <col min="9" max="9" width="18.140625" style="740" hidden="1" customWidth="1"/>
    <col min="10" max="12" width="13.7109375" style="740" customWidth="1"/>
    <col min="13" max="13" width="7.7109375" customWidth="1"/>
    <col min="14" max="14" width="18.140625" hidden="1" customWidth="1"/>
    <col min="15" max="17" width="13.7109375" customWidth="1"/>
    <col min="18" max="18" width="7.7109375" customWidth="1"/>
    <col min="19" max="19" width="15.7109375" hidden="1" customWidth="1"/>
    <col min="20" max="22" width="13.7109375" customWidth="1"/>
    <col min="23" max="23" width="7.7109375" customWidth="1"/>
    <col min="24" max="24" width="18.140625" hidden="1" customWidth="1"/>
    <col min="25" max="27" width="13.7109375" customWidth="1"/>
    <col min="28" max="28" width="7.7109375" customWidth="1"/>
    <col min="29" max="29" width="16.42578125" hidden="1" customWidth="1"/>
    <col min="30" max="32" width="13.5703125" customWidth="1"/>
    <col min="33" max="33" width="13.85546875" customWidth="1"/>
  </cols>
  <sheetData>
    <row r="1" spans="1:33" ht="27.75" x14ac:dyDescent="0.2">
      <c r="A1" s="749" t="s">
        <v>812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49"/>
      <c r="O1" s="749"/>
      <c r="P1" s="749"/>
      <c r="Q1" s="749"/>
      <c r="R1" s="749"/>
      <c r="S1" s="749"/>
      <c r="T1" s="749"/>
      <c r="U1" s="749"/>
      <c r="V1" s="749"/>
      <c r="W1" s="749"/>
      <c r="X1" s="749"/>
      <c r="Y1" s="749"/>
      <c r="Z1" s="749"/>
      <c r="AA1" s="749"/>
      <c r="AB1" s="749"/>
      <c r="AC1" s="749"/>
      <c r="AD1" s="510"/>
      <c r="AE1" s="510"/>
      <c r="AF1" s="510"/>
      <c r="AG1" s="510"/>
    </row>
    <row r="2" spans="1:33" ht="27.75" x14ac:dyDescent="0.2">
      <c r="A2" s="511"/>
      <c r="B2" s="511"/>
      <c r="C2" s="511"/>
      <c r="D2" s="511"/>
      <c r="E2" s="511"/>
      <c r="F2" s="511"/>
      <c r="G2" s="511"/>
      <c r="H2" s="714"/>
      <c r="I2" s="714"/>
      <c r="J2" s="714"/>
      <c r="K2" s="714"/>
      <c r="L2" s="714"/>
      <c r="M2" s="511"/>
      <c r="N2" s="511"/>
      <c r="O2" s="511"/>
      <c r="P2" s="511"/>
      <c r="Q2" s="511"/>
    </row>
    <row r="3" spans="1:33" ht="24" x14ac:dyDescent="0.55000000000000004">
      <c r="A3" s="750" t="s">
        <v>19</v>
      </c>
      <c r="B3" s="750" t="s">
        <v>107</v>
      </c>
      <c r="C3" s="754" t="s">
        <v>37</v>
      </c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6"/>
      <c r="R3" s="753" t="s">
        <v>144</v>
      </c>
      <c r="S3" s="753"/>
      <c r="T3" s="753"/>
      <c r="U3" s="753"/>
      <c r="V3" s="753"/>
      <c r="W3" s="753"/>
      <c r="X3" s="753"/>
      <c r="Y3" s="753"/>
      <c r="Z3" s="753"/>
      <c r="AA3" s="753"/>
      <c r="AB3" s="753"/>
      <c r="AC3" s="753"/>
      <c r="AD3" s="753"/>
      <c r="AE3" s="753"/>
      <c r="AF3" s="753"/>
      <c r="AG3" s="429"/>
    </row>
    <row r="4" spans="1:33" ht="24" x14ac:dyDescent="0.55000000000000004">
      <c r="A4" s="751"/>
      <c r="B4" s="751"/>
      <c r="C4" s="754" t="s">
        <v>813</v>
      </c>
      <c r="D4" s="755"/>
      <c r="E4" s="755"/>
      <c r="F4" s="755"/>
      <c r="G4" s="756"/>
      <c r="H4" s="757" t="s">
        <v>814</v>
      </c>
      <c r="I4" s="758"/>
      <c r="J4" s="758"/>
      <c r="K4" s="758"/>
      <c r="L4" s="759"/>
      <c r="M4" s="760" t="s">
        <v>815</v>
      </c>
      <c r="N4" s="761"/>
      <c r="O4" s="761"/>
      <c r="P4" s="761"/>
      <c r="Q4" s="762"/>
      <c r="R4" s="763" t="s">
        <v>813</v>
      </c>
      <c r="S4" s="755"/>
      <c r="T4" s="755"/>
      <c r="U4" s="755"/>
      <c r="V4" s="756"/>
      <c r="W4" s="757" t="s">
        <v>814</v>
      </c>
      <c r="X4" s="758"/>
      <c r="Y4" s="758"/>
      <c r="Z4" s="758"/>
      <c r="AA4" s="759"/>
      <c r="AB4" s="764" t="s">
        <v>815</v>
      </c>
      <c r="AC4" s="764"/>
      <c r="AD4" s="764"/>
      <c r="AE4" s="764"/>
      <c r="AF4" s="765"/>
      <c r="AG4" s="429"/>
    </row>
    <row r="5" spans="1:33" ht="24" x14ac:dyDescent="0.55000000000000004">
      <c r="A5" s="752"/>
      <c r="B5" s="752"/>
      <c r="C5" s="509" t="s">
        <v>29</v>
      </c>
      <c r="D5" s="509" t="s">
        <v>50</v>
      </c>
      <c r="E5" s="509" t="s">
        <v>25</v>
      </c>
      <c r="F5" s="509" t="s">
        <v>18</v>
      </c>
      <c r="G5" s="509" t="s">
        <v>98</v>
      </c>
      <c r="H5" s="715" t="s">
        <v>29</v>
      </c>
      <c r="I5" s="715" t="s">
        <v>50</v>
      </c>
      <c r="J5" s="715" t="s">
        <v>25</v>
      </c>
      <c r="K5" s="715" t="s">
        <v>18</v>
      </c>
      <c r="L5" s="715" t="s">
        <v>98</v>
      </c>
      <c r="M5" s="716" t="s">
        <v>29</v>
      </c>
      <c r="N5" s="717" t="s">
        <v>50</v>
      </c>
      <c r="O5" s="716" t="s">
        <v>25</v>
      </c>
      <c r="P5" s="716" t="s">
        <v>18</v>
      </c>
      <c r="Q5" s="716" t="s">
        <v>98</v>
      </c>
      <c r="R5" s="718" t="s">
        <v>29</v>
      </c>
      <c r="S5" s="509" t="s">
        <v>50</v>
      </c>
      <c r="T5" s="509" t="s">
        <v>25</v>
      </c>
      <c r="U5" s="509" t="s">
        <v>18</v>
      </c>
      <c r="V5" s="509" t="s">
        <v>98</v>
      </c>
      <c r="W5" s="715" t="s">
        <v>29</v>
      </c>
      <c r="X5" s="715" t="s">
        <v>50</v>
      </c>
      <c r="Y5" s="715" t="s">
        <v>25</v>
      </c>
      <c r="Z5" s="715" t="s">
        <v>18</v>
      </c>
      <c r="AA5" s="715" t="s">
        <v>98</v>
      </c>
      <c r="AB5" s="716" t="s">
        <v>29</v>
      </c>
      <c r="AC5" s="716" t="s">
        <v>50</v>
      </c>
      <c r="AD5" s="716" t="s">
        <v>25</v>
      </c>
      <c r="AE5" s="716" t="s">
        <v>18</v>
      </c>
      <c r="AF5" s="741" t="s">
        <v>98</v>
      </c>
      <c r="AG5" s="429"/>
    </row>
    <row r="6" spans="1:33" ht="24" x14ac:dyDescent="0.55000000000000004">
      <c r="A6" s="109">
        <v>1</v>
      </c>
      <c r="B6" s="108" t="s">
        <v>14</v>
      </c>
      <c r="C6" s="350">
        <v>13</v>
      </c>
      <c r="D6" s="352">
        <f>+[1]บช.น.!Q2</f>
        <v>4236900</v>
      </c>
      <c r="E6" s="352"/>
      <c r="F6" s="352"/>
      <c r="G6" s="352"/>
      <c r="H6" s="719">
        <f>+[1]บช.น.!P3</f>
        <v>2</v>
      </c>
      <c r="I6" s="720">
        <f>+[1]บช.น.!Q3</f>
        <v>9998000</v>
      </c>
      <c r="J6" s="720"/>
      <c r="K6" s="720"/>
      <c r="L6" s="720"/>
      <c r="M6" s="721" t="str">
        <f>+[1]บช.น.!P4</f>
        <v>-</v>
      </c>
      <c r="N6" s="722" t="str">
        <f>+[1]บช.น.!Q4</f>
        <v>-</v>
      </c>
      <c r="O6" s="724"/>
      <c r="P6" s="724"/>
      <c r="Q6" s="742"/>
      <c r="R6" s="723" t="str">
        <f>+[1]บช.น.!R2</f>
        <v>-</v>
      </c>
      <c r="S6" s="350" t="str">
        <f>+[1]บช.น.!S2</f>
        <v>-</v>
      </c>
      <c r="T6" s="350"/>
      <c r="U6" s="350"/>
      <c r="V6" s="350"/>
      <c r="W6" s="719">
        <f>+[1]บช.น.!R3</f>
        <v>1</v>
      </c>
      <c r="X6" s="720">
        <f>+[1]บช.น.!S3</f>
        <v>17665600</v>
      </c>
      <c r="Y6" s="720"/>
      <c r="Z6" s="720"/>
      <c r="AA6" s="720"/>
      <c r="AB6" s="745" t="str">
        <f>+[1]บช.น.!R4</f>
        <v>-</v>
      </c>
      <c r="AC6" s="745" t="str">
        <f>+[1]บช.น.!S4</f>
        <v>-</v>
      </c>
      <c r="AD6" s="724"/>
      <c r="AE6" s="724"/>
      <c r="AF6" s="742"/>
      <c r="AG6" s="725"/>
    </row>
    <row r="7" spans="1:33" ht="24" x14ac:dyDescent="0.55000000000000004">
      <c r="A7" s="109">
        <v>2</v>
      </c>
      <c r="B7" s="108" t="s">
        <v>12</v>
      </c>
      <c r="C7" s="350">
        <v>6</v>
      </c>
      <c r="D7" s="352">
        <f>+[1]ภ.1!Q2</f>
        <v>2795000</v>
      </c>
      <c r="E7" s="352"/>
      <c r="F7" s="352"/>
      <c r="G7" s="352"/>
      <c r="H7" s="719" t="str">
        <f>+[1]ภ.1!P3</f>
        <v>-</v>
      </c>
      <c r="I7" s="726" t="str">
        <f>+[1]ภ.1!Q3</f>
        <v>-</v>
      </c>
      <c r="J7" s="726"/>
      <c r="K7" s="726"/>
      <c r="L7" s="726"/>
      <c r="M7" s="724" t="str">
        <f>+[1]ภ.1!P4</f>
        <v>-</v>
      </c>
      <c r="N7" s="722" t="str">
        <f>+[1]ภ.1!Q4</f>
        <v>-</v>
      </c>
      <c r="O7" s="724"/>
      <c r="P7" s="724"/>
      <c r="Q7" s="742"/>
      <c r="R7" s="747">
        <v>1</v>
      </c>
      <c r="S7" s="350" t="str">
        <f>+[1]ภ.1!S2</f>
        <v>-</v>
      </c>
      <c r="T7" s="350"/>
      <c r="U7" s="350"/>
      <c r="V7" s="350"/>
      <c r="W7" s="719" t="s">
        <v>209</v>
      </c>
      <c r="X7" s="720">
        <f>+[1]ภ.1!S3</f>
        <v>349508200</v>
      </c>
      <c r="Y7" s="720"/>
      <c r="Z7" s="720"/>
      <c r="AA7" s="720"/>
      <c r="AB7" s="724" t="str">
        <f>+[1]ภ.1!R4</f>
        <v>-</v>
      </c>
      <c r="AC7" s="724" t="str">
        <f>+[1]ภ.1!S4</f>
        <v>-</v>
      </c>
      <c r="AD7" s="724"/>
      <c r="AE7" s="724"/>
      <c r="AF7" s="742"/>
      <c r="AG7" s="725"/>
    </row>
    <row r="8" spans="1:33" ht="24" x14ac:dyDescent="0.55000000000000004">
      <c r="A8" s="109">
        <v>3</v>
      </c>
      <c r="B8" s="108" t="s">
        <v>13</v>
      </c>
      <c r="C8" s="350">
        <v>11</v>
      </c>
      <c r="D8" s="352">
        <f>+[1]ภ.2!Q2</f>
        <v>3245200</v>
      </c>
      <c r="E8" s="352"/>
      <c r="F8" s="352"/>
      <c r="G8" s="352"/>
      <c r="H8" s="719" t="str">
        <f>+[1]ภ.2!P3</f>
        <v>-</v>
      </c>
      <c r="I8" s="726">
        <f>+[1]ภ.2!Q3</f>
        <v>0</v>
      </c>
      <c r="J8" s="726"/>
      <c r="K8" s="726"/>
      <c r="L8" s="726"/>
      <c r="M8" s="724" t="str">
        <f>+[1]ภ.2!P4</f>
        <v>-</v>
      </c>
      <c r="N8" s="722" t="str">
        <f>+[1]ภ.2!Q4</f>
        <v>-</v>
      </c>
      <c r="O8" s="724"/>
      <c r="P8" s="724"/>
      <c r="Q8" s="742"/>
      <c r="R8" s="747">
        <v>1</v>
      </c>
      <c r="S8" s="350" t="str">
        <f>+[1]ภ.2!S2</f>
        <v>-</v>
      </c>
      <c r="T8" s="350"/>
      <c r="U8" s="350"/>
      <c r="V8" s="350"/>
      <c r="W8" s="719">
        <v>2</v>
      </c>
      <c r="X8" s="726">
        <f>+[1]ภ.2!S3</f>
        <v>238324900</v>
      </c>
      <c r="Y8" s="726"/>
      <c r="Z8" s="726"/>
      <c r="AA8" s="726"/>
      <c r="AB8" s="724" t="str">
        <f>+[1]ภ.2!R4</f>
        <v>-</v>
      </c>
      <c r="AC8" s="724" t="str">
        <f>+[1]ภ.2!S4</f>
        <v>-</v>
      </c>
      <c r="AD8" s="724"/>
      <c r="AE8" s="724"/>
      <c r="AF8" s="742"/>
      <c r="AG8" s="725"/>
    </row>
    <row r="9" spans="1:33" ht="24" x14ac:dyDescent="0.55000000000000004">
      <c r="A9" s="109">
        <v>4</v>
      </c>
      <c r="B9" s="108" t="s">
        <v>15</v>
      </c>
      <c r="C9" s="350">
        <v>3</v>
      </c>
      <c r="D9" s="352">
        <f>+[1]ภ.3!Q2</f>
        <v>1518000</v>
      </c>
      <c r="E9" s="352"/>
      <c r="F9" s="352"/>
      <c r="G9" s="352"/>
      <c r="H9" s="719" t="str">
        <f>+[1]ภ.3!P3</f>
        <v>-</v>
      </c>
      <c r="I9" s="719" t="str">
        <f>+[1]ภ.3!Q4</f>
        <v>-</v>
      </c>
      <c r="J9" s="719"/>
      <c r="K9" s="719"/>
      <c r="L9" s="719"/>
      <c r="M9" s="724" t="str">
        <f>+[1]ภ.3!P4</f>
        <v>-</v>
      </c>
      <c r="N9" s="722" t="str">
        <f>+[1]ภ.3!Q4</f>
        <v>-</v>
      </c>
      <c r="O9" s="724"/>
      <c r="P9" s="724"/>
      <c r="Q9" s="742"/>
      <c r="R9" s="747">
        <v>1</v>
      </c>
      <c r="S9" s="350" t="str">
        <f>+[1]ภ.3!S2</f>
        <v>-</v>
      </c>
      <c r="T9" s="350"/>
      <c r="U9" s="350"/>
      <c r="V9" s="350"/>
      <c r="W9" s="719">
        <v>2</v>
      </c>
      <c r="X9" s="726">
        <f>+[1]ภ.3!S3</f>
        <v>556821000</v>
      </c>
      <c r="Y9" s="726"/>
      <c r="Z9" s="726"/>
      <c r="AA9" s="726"/>
      <c r="AB9" s="724" t="str">
        <f>+[1]ภ.3!R4</f>
        <v>-</v>
      </c>
      <c r="AC9" s="724" t="str">
        <f>+[1]ภ.3!S4</f>
        <v>-</v>
      </c>
      <c r="AD9" s="724"/>
      <c r="AE9" s="724"/>
      <c r="AF9" s="742"/>
      <c r="AG9" s="725"/>
    </row>
    <row r="10" spans="1:33" ht="24" x14ac:dyDescent="0.55000000000000004">
      <c r="A10" s="109">
        <v>5</v>
      </c>
      <c r="B10" s="108" t="s">
        <v>9</v>
      </c>
      <c r="C10" s="350">
        <v>9</v>
      </c>
      <c r="D10" s="352">
        <f>+[1]ภ.4!Q2</f>
        <v>5627500</v>
      </c>
      <c r="E10" s="352"/>
      <c r="F10" s="352"/>
      <c r="G10" s="352"/>
      <c r="H10" s="719" t="str">
        <f>+[1]ภ.4!P3</f>
        <v>-</v>
      </c>
      <c r="I10" s="726" t="str">
        <f>+[1]ภ.4!Q3</f>
        <v>-</v>
      </c>
      <c r="J10" s="726"/>
      <c r="K10" s="726"/>
      <c r="L10" s="726"/>
      <c r="M10" s="724" t="str">
        <f>+[1]ภ.4!P4</f>
        <v>-</v>
      </c>
      <c r="N10" s="722" t="str">
        <f>+[1]ภ.4!Q4</f>
        <v>-</v>
      </c>
      <c r="O10" s="724"/>
      <c r="P10" s="724"/>
      <c r="Q10" s="742"/>
      <c r="R10" s="747">
        <v>1</v>
      </c>
      <c r="S10" s="350" t="str">
        <f>+[1]ภ.4!S2</f>
        <v>-</v>
      </c>
      <c r="T10" s="350"/>
      <c r="U10" s="350"/>
      <c r="V10" s="350"/>
      <c r="W10" s="719" t="s">
        <v>209</v>
      </c>
      <c r="X10" s="726">
        <f>+[1]ภ.4!S3</f>
        <v>363222300</v>
      </c>
      <c r="Y10" s="726"/>
      <c r="Z10" s="726"/>
      <c r="AA10" s="726"/>
      <c r="AB10" s="724" t="str">
        <f>+[1]ภ.4!R4</f>
        <v>-</v>
      </c>
      <c r="AC10" s="724" t="str">
        <f>+[1]ภ.4!S4</f>
        <v>-</v>
      </c>
      <c r="AD10" s="724"/>
      <c r="AE10" s="724"/>
      <c r="AF10" s="742"/>
      <c r="AG10" s="725"/>
    </row>
    <row r="11" spans="1:33" ht="24" x14ac:dyDescent="0.55000000000000004">
      <c r="A11" s="109">
        <v>6</v>
      </c>
      <c r="B11" s="108" t="s">
        <v>6</v>
      </c>
      <c r="C11" s="350">
        <v>14</v>
      </c>
      <c r="D11" s="352">
        <f>+[1]ภ.5!Q2</f>
        <v>4328900</v>
      </c>
      <c r="E11" s="352"/>
      <c r="F11" s="352"/>
      <c r="G11" s="352"/>
      <c r="H11" s="719">
        <f>+[1]ภ.5!P3</f>
        <v>2</v>
      </c>
      <c r="I11" s="726">
        <f>+[1]ภ.5!Q3</f>
        <v>24274000</v>
      </c>
      <c r="J11" s="726"/>
      <c r="K11" s="726"/>
      <c r="L11" s="726"/>
      <c r="M11" s="724" t="str">
        <f>+[1]ภ.5!P4</f>
        <v>-</v>
      </c>
      <c r="N11" s="722" t="str">
        <f>+[1]ภ.5!Q4</f>
        <v>-</v>
      </c>
      <c r="O11" s="724"/>
      <c r="P11" s="724"/>
      <c r="Q11" s="742"/>
      <c r="R11" s="747">
        <v>1</v>
      </c>
      <c r="S11" s="350" t="str">
        <f>+[1]ภ.5!S2</f>
        <v>-</v>
      </c>
      <c r="T11" s="350"/>
      <c r="U11" s="350"/>
      <c r="V11" s="350"/>
      <c r="W11" s="719">
        <v>4</v>
      </c>
      <c r="X11" s="726">
        <f>+[1]ภ.5!S3</f>
        <v>390432000</v>
      </c>
      <c r="Y11" s="726"/>
      <c r="Z11" s="726"/>
      <c r="AA11" s="726"/>
      <c r="AB11" s="724" t="str">
        <f>+[1]ภ.5!R4</f>
        <v>-</v>
      </c>
      <c r="AC11" s="724" t="str">
        <f>+[1]ภ.5!S4</f>
        <v>-</v>
      </c>
      <c r="AD11" s="724"/>
      <c r="AE11" s="724"/>
      <c r="AF11" s="742"/>
      <c r="AG11" s="725"/>
    </row>
    <row r="12" spans="1:33" ht="24" x14ac:dyDescent="0.55000000000000004">
      <c r="A12" s="109">
        <v>7</v>
      </c>
      <c r="B12" s="108" t="s">
        <v>27</v>
      </c>
      <c r="C12" s="350">
        <v>3</v>
      </c>
      <c r="D12" s="352">
        <f>+[1]ภ.6!Q2</f>
        <v>3130100</v>
      </c>
      <c r="E12" s="352"/>
      <c r="F12" s="352"/>
      <c r="G12" s="352"/>
      <c r="H12" s="719">
        <v>2</v>
      </c>
      <c r="I12" s="726">
        <f>+[1]ภ.6!Q3</f>
        <v>15564000</v>
      </c>
      <c r="J12" s="726"/>
      <c r="K12" s="726"/>
      <c r="L12" s="726"/>
      <c r="M12" s="724" t="str">
        <f>+[1]ภ.6!P4</f>
        <v>-</v>
      </c>
      <c r="N12" s="722" t="str">
        <f>+[1]ภ.6!Q4</f>
        <v>-</v>
      </c>
      <c r="O12" s="724"/>
      <c r="P12" s="724"/>
      <c r="Q12" s="742"/>
      <c r="R12" s="727">
        <v>2</v>
      </c>
      <c r="S12" s="352">
        <f>+[1]ภ.6!S2</f>
        <v>2000000</v>
      </c>
      <c r="T12" s="352"/>
      <c r="U12" s="352"/>
      <c r="V12" s="352"/>
      <c r="W12" s="719">
        <v>10</v>
      </c>
      <c r="X12" s="726">
        <f>+[1]ภ.6!S3</f>
        <v>183855300</v>
      </c>
      <c r="Y12" s="726"/>
      <c r="Z12" s="726"/>
      <c r="AA12" s="726"/>
      <c r="AB12" s="724" t="str">
        <f>+[1]ภ.6!R4</f>
        <v>-</v>
      </c>
      <c r="AC12" s="721" t="str">
        <f>+[1]ภ.6!S4</f>
        <v>-</v>
      </c>
      <c r="AD12" s="721"/>
      <c r="AE12" s="721"/>
      <c r="AF12" s="743"/>
      <c r="AG12" s="725"/>
    </row>
    <row r="13" spans="1:33" ht="24" x14ac:dyDescent="0.55000000000000004">
      <c r="A13" s="109">
        <v>8</v>
      </c>
      <c r="B13" s="108" t="s">
        <v>23</v>
      </c>
      <c r="C13" s="350">
        <v>3</v>
      </c>
      <c r="D13" s="352" t="str">
        <f>+[1]ภ.7!Q2</f>
        <v>-</v>
      </c>
      <c r="E13" s="352"/>
      <c r="F13" s="352"/>
      <c r="G13" s="352"/>
      <c r="H13" s="719" t="s">
        <v>209</v>
      </c>
      <c r="I13" s="726">
        <f>+[1]ภ.7!Q3</f>
        <v>2390000</v>
      </c>
      <c r="J13" s="726"/>
      <c r="K13" s="726"/>
      <c r="L13" s="726"/>
      <c r="M13" s="724" t="str">
        <f>+[1]ภ.7!P4</f>
        <v>-</v>
      </c>
      <c r="N13" s="722" t="str">
        <f>+[1]ภ.7!Q4</f>
        <v>-</v>
      </c>
      <c r="O13" s="724"/>
      <c r="P13" s="724"/>
      <c r="Q13" s="742"/>
      <c r="R13" s="747">
        <v>1</v>
      </c>
      <c r="S13" s="350" t="str">
        <f>+[1]ภ.7!S2</f>
        <v>-</v>
      </c>
      <c r="T13" s="350"/>
      <c r="U13" s="350"/>
      <c r="V13" s="350"/>
      <c r="W13" s="719" t="s">
        <v>209</v>
      </c>
      <c r="X13" s="726">
        <f>+[1]ภ.7!S3</f>
        <v>81698900</v>
      </c>
      <c r="Y13" s="726"/>
      <c r="Z13" s="726"/>
      <c r="AA13" s="726"/>
      <c r="AB13" s="724" t="str">
        <f>+[1]ภ.7!R4</f>
        <v>-</v>
      </c>
      <c r="AC13" s="724" t="str">
        <f>+[1]ภ.7!S4</f>
        <v>-</v>
      </c>
      <c r="AD13" s="724"/>
      <c r="AE13" s="724"/>
      <c r="AF13" s="742"/>
      <c r="AG13" s="725"/>
    </row>
    <row r="14" spans="1:33" ht="24" x14ac:dyDescent="0.55000000000000004">
      <c r="A14" s="109">
        <v>9</v>
      </c>
      <c r="B14" s="108" t="s">
        <v>24</v>
      </c>
      <c r="C14" s="350">
        <v>15</v>
      </c>
      <c r="D14" s="352">
        <f>+[1]ภ.8!Q2</f>
        <v>8152900</v>
      </c>
      <c r="E14" s="352"/>
      <c r="F14" s="352"/>
      <c r="G14" s="352"/>
      <c r="H14" s="719" t="str">
        <f>+[1]ภ.8!P3</f>
        <v>-</v>
      </c>
      <c r="I14" s="726" t="str">
        <f>+[1]ภ.8!Q3</f>
        <v>-</v>
      </c>
      <c r="J14" s="726"/>
      <c r="K14" s="726"/>
      <c r="L14" s="726"/>
      <c r="M14" s="724" t="str">
        <f>+[1]ภ.8!P4</f>
        <v>-</v>
      </c>
      <c r="N14" s="722" t="str">
        <f>+[1]ภ.8!Q4</f>
        <v>-</v>
      </c>
      <c r="O14" s="724"/>
      <c r="P14" s="724"/>
      <c r="Q14" s="742"/>
      <c r="R14" s="747">
        <v>1</v>
      </c>
      <c r="S14" s="350" t="str">
        <f>+[1]ภ.8!S2</f>
        <v>-</v>
      </c>
      <c r="T14" s="350"/>
      <c r="U14" s="350"/>
      <c r="V14" s="350"/>
      <c r="W14" s="719">
        <v>4</v>
      </c>
      <c r="X14" s="726">
        <f>+[1]ภ.8!S3</f>
        <v>150638000</v>
      </c>
      <c r="Y14" s="726"/>
      <c r="Z14" s="726"/>
      <c r="AA14" s="726"/>
      <c r="AB14" s="724" t="str">
        <f>+[1]ภ.8!R4</f>
        <v>-</v>
      </c>
      <c r="AC14" s="724" t="str">
        <f>+[1]ภ.8!S4</f>
        <v>-</v>
      </c>
      <c r="AD14" s="724"/>
      <c r="AE14" s="724"/>
      <c r="AF14" s="742"/>
      <c r="AG14" s="725"/>
    </row>
    <row r="15" spans="1:33" ht="24" x14ac:dyDescent="0.55000000000000004">
      <c r="A15" s="109">
        <v>10</v>
      </c>
      <c r="B15" s="108" t="s">
        <v>1</v>
      </c>
      <c r="C15" s="350">
        <f>+[1]ภ.9!P2</f>
        <v>6</v>
      </c>
      <c r="D15" s="352">
        <f>+[1]ภ.9!Q2</f>
        <v>2051800</v>
      </c>
      <c r="E15" s="352"/>
      <c r="F15" s="352"/>
      <c r="G15" s="352"/>
      <c r="H15" s="719">
        <f>+[1]ภ.9!P3</f>
        <v>1</v>
      </c>
      <c r="I15" s="726">
        <f>+[1]ภ.9!Q3</f>
        <v>5250000</v>
      </c>
      <c r="J15" s="726"/>
      <c r="K15" s="726"/>
      <c r="L15" s="726"/>
      <c r="M15" s="724" t="str">
        <f>+[1]ภ.9!P4</f>
        <v>-</v>
      </c>
      <c r="N15" s="722" t="str">
        <f>+[1]ภ.9!Q4</f>
        <v>-</v>
      </c>
      <c r="O15" s="724"/>
      <c r="P15" s="724"/>
      <c r="Q15" s="742"/>
      <c r="R15" s="747">
        <v>1</v>
      </c>
      <c r="S15" s="350" t="str">
        <f>+[1]ภ.9!S2</f>
        <v>-</v>
      </c>
      <c r="T15" s="350"/>
      <c r="U15" s="350"/>
      <c r="V15" s="350"/>
      <c r="W15" s="719">
        <v>2</v>
      </c>
      <c r="X15" s="726">
        <f>+[1]ภ.9!S3</f>
        <v>363690600</v>
      </c>
      <c r="Y15" s="726"/>
      <c r="Z15" s="726"/>
      <c r="AA15" s="726"/>
      <c r="AB15" s="724" t="str">
        <f>+[1]ภ.9!R4</f>
        <v>-</v>
      </c>
      <c r="AC15" s="724" t="str">
        <f>+[1]ภ.9!S4</f>
        <v>-</v>
      </c>
      <c r="AD15" s="724"/>
      <c r="AE15" s="724"/>
      <c r="AF15" s="742"/>
      <c r="AG15" s="725"/>
    </row>
    <row r="16" spans="1:33" ht="24" x14ac:dyDescent="0.55000000000000004">
      <c r="A16" s="109">
        <v>11</v>
      </c>
      <c r="B16" s="108" t="s">
        <v>7</v>
      </c>
      <c r="C16" s="350">
        <v>11</v>
      </c>
      <c r="D16" s="352">
        <f>+[1]ศชต.!Q2</f>
        <v>5946000</v>
      </c>
      <c r="E16" s="352"/>
      <c r="F16" s="352"/>
      <c r="G16" s="352"/>
      <c r="H16" s="719">
        <v>4</v>
      </c>
      <c r="I16" s="726">
        <f>+[1]ศชต.!Q3</f>
        <v>48200000</v>
      </c>
      <c r="J16" s="726"/>
      <c r="K16" s="726"/>
      <c r="L16" s="726"/>
      <c r="M16" s="724" t="str">
        <f>+[1]ศชต.!P4</f>
        <v>-</v>
      </c>
      <c r="N16" s="728" t="str">
        <f>+[1]ศชต.!Q4</f>
        <v>-</v>
      </c>
      <c r="O16" s="721"/>
      <c r="P16" s="721"/>
      <c r="Q16" s="743"/>
      <c r="R16" s="727">
        <v>10</v>
      </c>
      <c r="S16" s="352">
        <f>+[1]ศชต.!S2</f>
        <v>10071200</v>
      </c>
      <c r="T16" s="352"/>
      <c r="U16" s="352"/>
      <c r="V16" s="352"/>
      <c r="W16" s="719">
        <v>14</v>
      </c>
      <c r="X16" s="726">
        <f>+[1]ศชต.!S3</f>
        <v>408525300</v>
      </c>
      <c r="Y16" s="726"/>
      <c r="Z16" s="726"/>
      <c r="AA16" s="726"/>
      <c r="AB16" s="724" t="str">
        <f>+[1]ศชต.!R4</f>
        <v>-</v>
      </c>
      <c r="AC16" s="724" t="str">
        <f>+[1]ศชต.!S4</f>
        <v>-</v>
      </c>
      <c r="AD16" s="724"/>
      <c r="AE16" s="724"/>
      <c r="AF16" s="742"/>
      <c r="AG16" s="725"/>
    </row>
    <row r="17" spans="1:33" ht="24" x14ac:dyDescent="0.55000000000000004">
      <c r="A17" s="109">
        <v>12</v>
      </c>
      <c r="B17" s="108" t="s">
        <v>16</v>
      </c>
      <c r="C17" s="350">
        <v>16</v>
      </c>
      <c r="D17" s="352">
        <f>+[1]บช.ก.!Q2</f>
        <v>12318600</v>
      </c>
      <c r="E17" s="352"/>
      <c r="F17" s="352"/>
      <c r="G17" s="352"/>
      <c r="H17" s="719">
        <v>6</v>
      </c>
      <c r="I17" s="726">
        <f>+[1]บช.ก.!Q3</f>
        <v>227741000</v>
      </c>
      <c r="J17" s="726"/>
      <c r="K17" s="726"/>
      <c r="L17" s="726"/>
      <c r="M17" s="724" t="str">
        <f>+[1]บช.ก.!P4</f>
        <v>-</v>
      </c>
      <c r="N17" s="722" t="str">
        <f>+[1]บช.ก.!Q4</f>
        <v>-</v>
      </c>
      <c r="O17" s="724"/>
      <c r="P17" s="724"/>
      <c r="Q17" s="742"/>
      <c r="R17" s="727" t="str">
        <f>+[1]บช.ก.!R2</f>
        <v>-</v>
      </c>
      <c r="S17" s="352" t="str">
        <f>+[1]บช.ก.!S2</f>
        <v>-</v>
      </c>
      <c r="T17" s="352"/>
      <c r="U17" s="352"/>
      <c r="V17" s="352"/>
      <c r="W17" s="719">
        <v>1</v>
      </c>
      <c r="X17" s="726">
        <f>+[1]บช.ก.!S3</f>
        <v>12667000</v>
      </c>
      <c r="Y17" s="726"/>
      <c r="Z17" s="726"/>
      <c r="AA17" s="726"/>
      <c r="AB17" s="724" t="str">
        <f>+[1]บช.ก.!R4</f>
        <v>-</v>
      </c>
      <c r="AC17" s="724" t="str">
        <f>+[1]บช.ก.!S4</f>
        <v>-</v>
      </c>
      <c r="AD17" s="724"/>
      <c r="AE17" s="724"/>
      <c r="AF17" s="742"/>
      <c r="AG17" s="725"/>
    </row>
    <row r="18" spans="1:33" ht="24" x14ac:dyDescent="0.55000000000000004">
      <c r="A18" s="109">
        <v>13</v>
      </c>
      <c r="B18" s="349" t="s">
        <v>30</v>
      </c>
      <c r="C18" s="350">
        <v>2</v>
      </c>
      <c r="D18" s="352">
        <f>+[1]บช.ปส.!Q2</f>
        <v>4627200</v>
      </c>
      <c r="E18" s="352"/>
      <c r="F18" s="352"/>
      <c r="G18" s="352"/>
      <c r="H18" s="719">
        <v>12</v>
      </c>
      <c r="I18" s="726">
        <f>+[1]บช.ปส.!Q3</f>
        <v>203238000</v>
      </c>
      <c r="J18" s="726"/>
      <c r="K18" s="726"/>
      <c r="L18" s="726"/>
      <c r="M18" s="724">
        <f>+[1]บช.ปส.!P4</f>
        <v>1</v>
      </c>
      <c r="N18" s="728">
        <f>+[1]บช.ปส.!Q4</f>
        <v>556854900</v>
      </c>
      <c r="O18" s="721"/>
      <c r="P18" s="721"/>
      <c r="Q18" s="743"/>
      <c r="R18" s="723" t="str">
        <f>+[1]บช.ปส.!R2</f>
        <v>-</v>
      </c>
      <c r="S18" s="352" t="str">
        <f>+[1]บช.ปส.!S2</f>
        <v>-</v>
      </c>
      <c r="T18" s="352"/>
      <c r="U18" s="352"/>
      <c r="V18" s="352"/>
      <c r="W18" s="719" t="str">
        <f>+[1]บช.ปส.!R3</f>
        <v>-</v>
      </c>
      <c r="X18" s="726" t="str">
        <f>+[1]บช.ปส.!S3</f>
        <v>-</v>
      </c>
      <c r="Y18" s="726"/>
      <c r="Z18" s="726"/>
      <c r="AA18" s="726"/>
      <c r="AB18" s="724" t="str">
        <f>+[1]บช.ปส.!R4</f>
        <v>-</v>
      </c>
      <c r="AC18" s="724" t="str">
        <f>+[1]บช.ปส.!S4</f>
        <v>-</v>
      </c>
      <c r="AD18" s="724"/>
      <c r="AE18" s="724"/>
      <c r="AF18" s="742"/>
      <c r="AG18" s="725"/>
    </row>
    <row r="19" spans="1:33" ht="24" x14ac:dyDescent="0.55000000000000004">
      <c r="A19" s="109">
        <v>14</v>
      </c>
      <c r="B19" s="108" t="s">
        <v>11</v>
      </c>
      <c r="C19" s="350">
        <v>1</v>
      </c>
      <c r="D19" s="352">
        <f>+[1]บช.ส.!Q2</f>
        <v>1682000</v>
      </c>
      <c r="E19" s="352"/>
      <c r="F19" s="352"/>
      <c r="G19" s="352"/>
      <c r="H19" s="719">
        <v>3</v>
      </c>
      <c r="I19" s="726">
        <f>+[1]บช.ส.!Q3</f>
        <v>239548100</v>
      </c>
      <c r="J19" s="726"/>
      <c r="K19" s="726"/>
      <c r="L19" s="726"/>
      <c r="M19" s="724" t="str">
        <f>+[1]บช.ส.!P4</f>
        <v>-</v>
      </c>
      <c r="N19" s="722" t="str">
        <f>+[1]บช.ส.!Q4</f>
        <v>-</v>
      </c>
      <c r="O19" s="724"/>
      <c r="P19" s="724"/>
      <c r="Q19" s="742"/>
      <c r="R19" s="723" t="str">
        <f>+[1]บช.ส.!R2</f>
        <v>-</v>
      </c>
      <c r="S19" s="350" t="str">
        <f>+[1]บช.ส.!S2</f>
        <v>-</v>
      </c>
      <c r="T19" s="350"/>
      <c r="U19" s="350"/>
      <c r="V19" s="350"/>
      <c r="W19" s="719">
        <f>+[1]บช.ส.!R3</f>
        <v>3</v>
      </c>
      <c r="X19" s="726">
        <f>+[1]บช.ส.!S3</f>
        <v>62472100</v>
      </c>
      <c r="Y19" s="726"/>
      <c r="Z19" s="726"/>
      <c r="AA19" s="726"/>
      <c r="AB19" s="724" t="str">
        <f>+[1]บช.ส.!R4</f>
        <v>-</v>
      </c>
      <c r="AC19" s="724" t="str">
        <f>+[1]บช.ส.!S4</f>
        <v>-</v>
      </c>
      <c r="AD19" s="724"/>
      <c r="AE19" s="724"/>
      <c r="AF19" s="742"/>
      <c r="AG19" s="725"/>
    </row>
    <row r="20" spans="1:33" ht="24" x14ac:dyDescent="0.55000000000000004">
      <c r="A20" s="109">
        <v>15</v>
      </c>
      <c r="B20" s="108" t="s">
        <v>17</v>
      </c>
      <c r="C20" s="350" t="str">
        <f>+[1]สตม.!P2</f>
        <v>-</v>
      </c>
      <c r="D20" s="352" t="str">
        <f>+[1]สตม.!Q2</f>
        <v>-</v>
      </c>
      <c r="E20" s="352"/>
      <c r="F20" s="352"/>
      <c r="G20" s="352"/>
      <c r="H20" s="719" t="s">
        <v>209</v>
      </c>
      <c r="I20" s="726" t="str">
        <f>+[1]สตม.!Q3</f>
        <v>-</v>
      </c>
      <c r="J20" s="726"/>
      <c r="K20" s="726"/>
      <c r="L20" s="726"/>
      <c r="M20" s="724" t="str">
        <f>+[1]สตม.!P4</f>
        <v>-</v>
      </c>
      <c r="N20" s="722" t="str">
        <f>+[1]สตม.!Q4</f>
        <v>-</v>
      </c>
      <c r="O20" s="724"/>
      <c r="P20" s="724"/>
      <c r="Q20" s="742"/>
      <c r="R20" s="723" t="str">
        <f>+[1]สตม.!R2</f>
        <v>-</v>
      </c>
      <c r="S20" s="350" t="str">
        <f>+[1]สตม.!S2</f>
        <v>-</v>
      </c>
      <c r="T20" s="350"/>
      <c r="U20" s="350"/>
      <c r="V20" s="350"/>
      <c r="W20" s="719">
        <v>8</v>
      </c>
      <c r="X20" s="726">
        <f>+[1]สตม.!S3</f>
        <v>236060800</v>
      </c>
      <c r="Y20" s="726"/>
      <c r="Z20" s="726"/>
      <c r="AA20" s="726"/>
      <c r="AB20" s="724" t="str">
        <f>+[1]สตม.!R4</f>
        <v>-</v>
      </c>
      <c r="AC20" s="724" t="str">
        <f>+[1]สตม.!S4</f>
        <v>-</v>
      </c>
      <c r="AD20" s="724"/>
      <c r="AE20" s="724"/>
      <c r="AF20" s="742"/>
      <c r="AG20" s="725"/>
    </row>
    <row r="21" spans="1:33" ht="24" x14ac:dyDescent="0.55000000000000004">
      <c r="A21" s="109">
        <v>16</v>
      </c>
      <c r="B21" s="108" t="s">
        <v>0</v>
      </c>
      <c r="C21" s="350">
        <f>26-8</f>
        <v>18</v>
      </c>
      <c r="D21" s="352">
        <f>+[1]บช.ตชด.!Q2</f>
        <v>42425000</v>
      </c>
      <c r="E21" s="352"/>
      <c r="F21" s="352"/>
      <c r="G21" s="352"/>
      <c r="H21" s="719">
        <v>8</v>
      </c>
      <c r="I21" s="726">
        <f>+[1]บช.ตชด.!Q3</f>
        <v>94262500</v>
      </c>
      <c r="J21" s="726"/>
      <c r="K21" s="726"/>
      <c r="L21" s="726"/>
      <c r="M21" s="724" t="str">
        <f>+[1]บช.ตชด.!P4</f>
        <v>-</v>
      </c>
      <c r="N21" s="722" t="str">
        <f>+[1]บช.ตชด.!Q4</f>
        <v>-</v>
      </c>
      <c r="O21" s="724"/>
      <c r="P21" s="724"/>
      <c r="Q21" s="742"/>
      <c r="R21" s="727">
        <f>41-14</f>
        <v>27</v>
      </c>
      <c r="S21" s="352">
        <f>+[1]บช.ตชด.!S2</f>
        <v>30460900</v>
      </c>
      <c r="T21" s="352"/>
      <c r="U21" s="352"/>
      <c r="V21" s="352"/>
      <c r="W21" s="719">
        <v>14</v>
      </c>
      <c r="X21" s="726">
        <f>+[1]บช.ตชด.!S3</f>
        <v>172147700</v>
      </c>
      <c r="Y21" s="726"/>
      <c r="Z21" s="726"/>
      <c r="AA21" s="726"/>
      <c r="AB21" s="724" t="str">
        <f>+[1]บช.ตชด.!R4</f>
        <v>-</v>
      </c>
      <c r="AC21" s="724" t="str">
        <f>+[1]บช.ตชด.!S4</f>
        <v>-</v>
      </c>
      <c r="AD21" s="724"/>
      <c r="AE21" s="724"/>
      <c r="AF21" s="742"/>
      <c r="AG21" s="725"/>
    </row>
    <row r="22" spans="1:33" ht="24" x14ac:dyDescent="0.55000000000000004">
      <c r="A22" s="109">
        <v>17</v>
      </c>
      <c r="B22" s="108" t="s">
        <v>153</v>
      </c>
      <c r="C22" s="350" t="str">
        <f>+[1]สง.นรป.!P2</f>
        <v>-</v>
      </c>
      <c r="D22" s="352" t="str">
        <f>+[1]สง.นรป.!Q2</f>
        <v>-</v>
      </c>
      <c r="E22" s="352"/>
      <c r="F22" s="352"/>
      <c r="G22" s="352"/>
      <c r="H22" s="719">
        <v>1</v>
      </c>
      <c r="I22" s="726" t="str">
        <f>+[1]สง.นรป.!Q3</f>
        <v>-</v>
      </c>
      <c r="J22" s="726"/>
      <c r="K22" s="726"/>
      <c r="L22" s="726"/>
      <c r="M22" s="724" t="str">
        <f>+[1]สง.นรป.!P4</f>
        <v>-</v>
      </c>
      <c r="N22" s="722" t="str">
        <f>+[1]สง.นรป.!Q4</f>
        <v>-</v>
      </c>
      <c r="O22" s="724"/>
      <c r="P22" s="724"/>
      <c r="Q22" s="742"/>
      <c r="R22" s="723" t="str">
        <f>+[1]สง.นรป.!R2</f>
        <v>-</v>
      </c>
      <c r="S22" s="352" t="str">
        <f>+[1]สง.นรป.!S2</f>
        <v>-</v>
      </c>
      <c r="T22" s="352"/>
      <c r="U22" s="352"/>
      <c r="V22" s="352"/>
      <c r="W22" s="719" t="s">
        <v>209</v>
      </c>
      <c r="X22" s="726">
        <f>+[1]สง.นรป.!S3</f>
        <v>3300000</v>
      </c>
      <c r="Y22" s="726"/>
      <c r="Z22" s="726"/>
      <c r="AA22" s="726"/>
      <c r="AB22" s="724" t="str">
        <f>+[1]สง.นรป.!R4</f>
        <v>-</v>
      </c>
      <c r="AC22" s="724" t="str">
        <f>+[1]สง.นรป.!S4</f>
        <v>-</v>
      </c>
      <c r="AD22" s="724"/>
      <c r="AE22" s="724"/>
      <c r="AF22" s="742"/>
      <c r="AG22" s="725"/>
    </row>
    <row r="23" spans="1:33" ht="24" x14ac:dyDescent="0.55000000000000004">
      <c r="A23" s="109">
        <v>18</v>
      </c>
      <c r="B23" s="108" t="s">
        <v>5</v>
      </c>
      <c r="C23" s="350">
        <f>+[1]สพฐ.ตร.!P2</f>
        <v>3</v>
      </c>
      <c r="D23" s="352">
        <f>+[1]สพฐ.ตร.!Q2</f>
        <v>3220000</v>
      </c>
      <c r="E23" s="352"/>
      <c r="F23" s="352"/>
      <c r="G23" s="352"/>
      <c r="H23" s="719">
        <f>+[1]สพฐ.ตร.!P3</f>
        <v>4</v>
      </c>
      <c r="I23" s="726">
        <f>+[1]สพฐ.ตร.!Q3</f>
        <v>23802000</v>
      </c>
      <c r="J23" s="726"/>
      <c r="K23" s="726"/>
      <c r="L23" s="726"/>
      <c r="M23" s="724" t="str">
        <f>+[1]สพฐ.ตร.!P4</f>
        <v>-</v>
      </c>
      <c r="N23" s="722" t="str">
        <f>+[1]สพฐ.ตร.!Q4</f>
        <v>-</v>
      </c>
      <c r="O23" s="724"/>
      <c r="P23" s="724"/>
      <c r="Q23" s="742"/>
      <c r="R23" s="723" t="str">
        <f>+[1]สพฐ.ตร.!R2</f>
        <v>-</v>
      </c>
      <c r="S23" s="350" t="str">
        <f>+[1]สพฐ.ตร.!S2</f>
        <v>-</v>
      </c>
      <c r="T23" s="350"/>
      <c r="U23" s="350"/>
      <c r="V23" s="350"/>
      <c r="W23" s="719">
        <v>3</v>
      </c>
      <c r="X23" s="726">
        <f>+[1]สพฐ.ตร.!S3</f>
        <v>84996500</v>
      </c>
      <c r="Y23" s="726"/>
      <c r="Z23" s="726"/>
      <c r="AA23" s="726"/>
      <c r="AB23" s="724" t="str">
        <f>+[1]สพฐ.ตร.!R4</f>
        <v>-</v>
      </c>
      <c r="AC23" s="724" t="str">
        <f>+[1]สพฐ.ตร.!S4</f>
        <v>-</v>
      </c>
      <c r="AD23" s="724"/>
      <c r="AE23" s="724"/>
      <c r="AF23" s="742"/>
      <c r="AG23" s="725"/>
    </row>
    <row r="24" spans="1:33" ht="24" x14ac:dyDescent="0.55000000000000004">
      <c r="A24" s="109">
        <v>19</v>
      </c>
      <c r="B24" s="108" t="s">
        <v>2</v>
      </c>
      <c r="C24" s="350">
        <f>11-2-1</f>
        <v>8</v>
      </c>
      <c r="D24" s="352">
        <f>+[1]สทส.!Q2</f>
        <v>5247900</v>
      </c>
      <c r="E24" s="352"/>
      <c r="F24" s="352"/>
      <c r="G24" s="352"/>
      <c r="H24" s="719">
        <f>+[1]สทส.!P3</f>
        <v>2</v>
      </c>
      <c r="I24" s="726">
        <f>+[1]สทส.!Q3</f>
        <v>202860000</v>
      </c>
      <c r="J24" s="726"/>
      <c r="K24" s="726"/>
      <c r="L24" s="726"/>
      <c r="M24" s="724" t="s">
        <v>209</v>
      </c>
      <c r="N24" s="722" t="str">
        <f>+[1]สทส.!Q4</f>
        <v>-</v>
      </c>
      <c r="O24" s="724"/>
      <c r="P24" s="724"/>
      <c r="Q24" s="742"/>
      <c r="R24" s="723" t="str">
        <f>+[1]สทส.!R2</f>
        <v>-</v>
      </c>
      <c r="S24" s="350" t="str">
        <f>+[1]สทส.!S2</f>
        <v>-</v>
      </c>
      <c r="T24" s="350"/>
      <c r="U24" s="350"/>
      <c r="V24" s="350"/>
      <c r="W24" s="719">
        <f>+[1]สทส.!R3</f>
        <v>2</v>
      </c>
      <c r="X24" s="726">
        <f>+[1]สทส.!S3</f>
        <v>29473200</v>
      </c>
      <c r="Y24" s="726"/>
      <c r="Z24" s="726"/>
      <c r="AA24" s="726"/>
      <c r="AB24" s="724" t="str">
        <f>+[1]สทส.!R4</f>
        <v>-</v>
      </c>
      <c r="AC24" s="724" t="str">
        <f>+[1]สทส.!S4</f>
        <v>-</v>
      </c>
      <c r="AD24" s="724"/>
      <c r="AE24" s="724"/>
      <c r="AF24" s="742"/>
      <c r="AG24" s="725"/>
    </row>
    <row r="25" spans="1:33" ht="24" x14ac:dyDescent="0.55000000000000004">
      <c r="A25" s="109">
        <v>20</v>
      </c>
      <c r="B25" s="108" t="s">
        <v>34</v>
      </c>
      <c r="C25" s="350">
        <v>12</v>
      </c>
      <c r="D25" s="352">
        <f>+[1]บช.ศ.!Q2</f>
        <v>3801100</v>
      </c>
      <c r="E25" s="352"/>
      <c r="F25" s="352"/>
      <c r="G25" s="352"/>
      <c r="H25" s="719">
        <f>+[1]บช.ศ.!P3</f>
        <v>1</v>
      </c>
      <c r="I25" s="726">
        <f>+[1]บช.ศ.!Q3</f>
        <v>48359500</v>
      </c>
      <c r="J25" s="726"/>
      <c r="K25" s="726"/>
      <c r="L25" s="726"/>
      <c r="M25" s="724" t="str">
        <f>+[1]บช.ศ.!P4</f>
        <v>-</v>
      </c>
      <c r="N25" s="722" t="str">
        <f>+[1]บช.ศ.!Q4</f>
        <v>-</v>
      </c>
      <c r="O25" s="724"/>
      <c r="P25" s="724"/>
      <c r="Q25" s="742"/>
      <c r="R25" s="723" t="str">
        <f>+[1]บช.ศ.!R2</f>
        <v>-</v>
      </c>
      <c r="S25" s="350" t="str">
        <f>+[1]บช.ศ.!S2</f>
        <v>-</v>
      </c>
      <c r="T25" s="350"/>
      <c r="U25" s="350"/>
      <c r="V25" s="350"/>
      <c r="W25" s="719">
        <v>8</v>
      </c>
      <c r="X25" s="726">
        <f>+[1]บช.ศ.!S3</f>
        <v>331402400</v>
      </c>
      <c r="Y25" s="726"/>
      <c r="Z25" s="726"/>
      <c r="AA25" s="726"/>
      <c r="AB25" s="724" t="str">
        <f>+[1]บช.ศ.!R4</f>
        <v>-</v>
      </c>
      <c r="AC25" s="724" t="str">
        <f>+[1]บช.ศ.!S4</f>
        <v>-</v>
      </c>
      <c r="AD25" s="724"/>
      <c r="AE25" s="724"/>
      <c r="AF25" s="742"/>
      <c r="AG25" s="725"/>
    </row>
    <row r="26" spans="1:33" ht="24" x14ac:dyDescent="0.55000000000000004">
      <c r="A26" s="109">
        <v>21</v>
      </c>
      <c r="B26" s="108" t="s">
        <v>35</v>
      </c>
      <c r="C26" s="350">
        <v>5</v>
      </c>
      <c r="D26" s="352">
        <f>+[1]รร.นรต.!Q2</f>
        <v>1809800</v>
      </c>
      <c r="E26" s="352"/>
      <c r="F26" s="352"/>
      <c r="G26" s="352"/>
      <c r="H26" s="719">
        <f>+[1]รร.นรต.!P3</f>
        <v>1</v>
      </c>
      <c r="I26" s="726">
        <f>+[1]รร.นรต.!Q3</f>
        <v>9208700</v>
      </c>
      <c r="J26" s="726"/>
      <c r="K26" s="726"/>
      <c r="L26" s="726"/>
      <c r="M26" s="724" t="str">
        <f>+[1]รร.นรต.!P4</f>
        <v>-</v>
      </c>
      <c r="N26" s="722" t="str">
        <f>+[1]รร.นรต.!Q4</f>
        <v>-</v>
      </c>
      <c r="O26" s="724"/>
      <c r="P26" s="724"/>
      <c r="Q26" s="742"/>
      <c r="R26" s="723" t="str">
        <f>+[1]รร.นรต.!R2</f>
        <v>-</v>
      </c>
      <c r="S26" s="352" t="str">
        <f>+[1]รร.นรต.!S2</f>
        <v>-</v>
      </c>
      <c r="T26" s="352"/>
      <c r="U26" s="352"/>
      <c r="V26" s="352"/>
      <c r="W26" s="719" t="str">
        <f>+[1]รร.นรต.!R3</f>
        <v>-</v>
      </c>
      <c r="X26" s="726">
        <f>+[1]รร.นรต.!S3</f>
        <v>0</v>
      </c>
      <c r="Y26" s="726"/>
      <c r="Z26" s="726"/>
      <c r="AA26" s="726"/>
      <c r="AB26" s="724" t="str">
        <f>+[1]รร.นรต.!R4</f>
        <v>-</v>
      </c>
      <c r="AC26" s="724" t="str">
        <f>+[1]รร.นรต.!S4</f>
        <v>-</v>
      </c>
      <c r="AD26" s="724"/>
      <c r="AE26" s="724"/>
      <c r="AF26" s="742"/>
      <c r="AG26" s="725"/>
    </row>
    <row r="27" spans="1:33" ht="24" x14ac:dyDescent="0.55000000000000004">
      <c r="A27" s="109">
        <v>22</v>
      </c>
      <c r="B27" s="108" t="s">
        <v>28</v>
      </c>
      <c r="C27" s="350">
        <v>5</v>
      </c>
      <c r="D27" s="352">
        <f>+[1]รพ.ตร.!Q2</f>
        <v>6173500</v>
      </c>
      <c r="E27" s="352"/>
      <c r="F27" s="352"/>
      <c r="G27" s="352"/>
      <c r="H27" s="719" t="s">
        <v>209</v>
      </c>
      <c r="I27" s="726">
        <f>+[1]รพ.ตร.!Q3</f>
        <v>3940000</v>
      </c>
      <c r="J27" s="726"/>
      <c r="K27" s="726"/>
      <c r="L27" s="726"/>
      <c r="M27" s="724" t="str">
        <f>+[1]รพ.ตร.!P4</f>
        <v>-</v>
      </c>
      <c r="N27" s="722" t="str">
        <f>+[1]รพ.ตร.!Q4</f>
        <v>-</v>
      </c>
      <c r="O27" s="724"/>
      <c r="P27" s="724"/>
      <c r="Q27" s="742"/>
      <c r="R27" s="723" t="str">
        <f>+[1]รพ.ตร.!R2</f>
        <v>-</v>
      </c>
      <c r="S27" s="350" t="str">
        <f>+[1]รพ.ตร.!S2</f>
        <v>-</v>
      </c>
      <c r="T27" s="350"/>
      <c r="U27" s="350"/>
      <c r="V27" s="350"/>
      <c r="W27" s="719" t="s">
        <v>209</v>
      </c>
      <c r="X27" s="726">
        <f>+[1]รพ.ตร.!S3</f>
        <v>26946100</v>
      </c>
      <c r="Y27" s="726"/>
      <c r="Z27" s="726"/>
      <c r="AA27" s="726"/>
      <c r="AB27" s="724" t="str">
        <f>+[1]รพ.ตร.!R4</f>
        <v>-</v>
      </c>
      <c r="AC27" s="724" t="str">
        <f>+[1]รพ.ตร.!S4</f>
        <v>-</v>
      </c>
      <c r="AD27" s="724"/>
      <c r="AE27" s="724"/>
      <c r="AF27" s="742"/>
      <c r="AG27" s="725"/>
    </row>
    <row r="28" spans="1:33" ht="24" x14ac:dyDescent="0.55000000000000004">
      <c r="A28" s="109">
        <v>23</v>
      </c>
      <c r="B28" s="108" t="s">
        <v>41</v>
      </c>
      <c r="C28" s="350">
        <v>2</v>
      </c>
      <c r="D28" s="352">
        <f>+[1]สยศ.ตร.!Q2</f>
        <v>2442900</v>
      </c>
      <c r="E28" s="352"/>
      <c r="F28" s="352"/>
      <c r="G28" s="352"/>
      <c r="H28" s="719" t="s">
        <v>209</v>
      </c>
      <c r="I28" s="726">
        <f>+[1]สยศ.ตร.!Q3</f>
        <v>58600000</v>
      </c>
      <c r="J28" s="726"/>
      <c r="K28" s="726"/>
      <c r="L28" s="726"/>
      <c r="M28" s="724" t="str">
        <f>+[1]สยศ.ตร.!P4</f>
        <v>-</v>
      </c>
      <c r="N28" s="722" t="str">
        <f>+[1]สยศ.ตร.!Q4</f>
        <v>-</v>
      </c>
      <c r="O28" s="724"/>
      <c r="P28" s="724"/>
      <c r="Q28" s="742"/>
      <c r="R28" s="723" t="str">
        <f>+[1]สยศ.ตร.!R2</f>
        <v>-</v>
      </c>
      <c r="S28" s="352" t="str">
        <f>+[1]สยศ.ตร.!S2</f>
        <v>-</v>
      </c>
      <c r="T28" s="352"/>
      <c r="U28" s="352"/>
      <c r="V28" s="352"/>
      <c r="W28" s="719" t="str">
        <f>+[1]สยศ.ตร.!R3</f>
        <v>-</v>
      </c>
      <c r="X28" s="726" t="str">
        <f>+[1]สยศ.ตร.!S3</f>
        <v>-</v>
      </c>
      <c r="Y28" s="726"/>
      <c r="Z28" s="726"/>
      <c r="AA28" s="726"/>
      <c r="AB28" s="724" t="str">
        <f>+[1]สยศ.ตร.!R4</f>
        <v>-</v>
      </c>
      <c r="AC28" s="724" t="str">
        <f>+[1]สยศ.ตร.!S4</f>
        <v>-</v>
      </c>
      <c r="AD28" s="724"/>
      <c r="AE28" s="724"/>
      <c r="AF28" s="742"/>
      <c r="AG28" s="725"/>
    </row>
    <row r="29" spans="1:33" ht="24" x14ac:dyDescent="0.55000000000000004">
      <c r="A29" s="109">
        <v>24</v>
      </c>
      <c r="B29" s="108" t="s">
        <v>4</v>
      </c>
      <c r="C29" s="350">
        <f>32-12-1</f>
        <v>19</v>
      </c>
      <c r="D29" s="352">
        <f>+[1]สกบ.!R2</f>
        <v>15166600</v>
      </c>
      <c r="E29" s="352"/>
      <c r="F29" s="352"/>
      <c r="G29" s="352"/>
      <c r="H29" s="719">
        <v>11</v>
      </c>
      <c r="I29" s="726">
        <f>+[1]สกบ.!R3</f>
        <v>194100000</v>
      </c>
      <c r="J29" s="726"/>
      <c r="K29" s="726"/>
      <c r="L29" s="726"/>
      <c r="M29" s="724">
        <v>1</v>
      </c>
      <c r="N29" s="728">
        <f>+[1]สกบ.!R4</f>
        <v>1537300000</v>
      </c>
      <c r="O29" s="721"/>
      <c r="P29" s="721"/>
      <c r="Q29" s="743"/>
      <c r="R29" s="727">
        <f>+[1]สกบ.!S2</f>
        <v>3</v>
      </c>
      <c r="S29" s="352">
        <f>+[1]สกบ.!T2</f>
        <v>2706000</v>
      </c>
      <c r="T29" s="352"/>
      <c r="U29" s="352"/>
      <c r="V29" s="352"/>
      <c r="W29" s="719">
        <v>4</v>
      </c>
      <c r="X29" s="726">
        <f>+[1]สกบ.!T3</f>
        <v>214738600</v>
      </c>
      <c r="Y29" s="726"/>
      <c r="Z29" s="726"/>
      <c r="AA29" s="726"/>
      <c r="AB29" s="724"/>
      <c r="AC29" s="721">
        <f>+[1]สกบ.!T4</f>
        <v>874686300</v>
      </c>
      <c r="AD29" s="721"/>
      <c r="AE29" s="721"/>
      <c r="AF29" s="743"/>
      <c r="AG29" s="725"/>
    </row>
    <row r="30" spans="1:33" ht="24" x14ac:dyDescent="0.55000000000000004">
      <c r="A30" s="109">
        <v>25</v>
      </c>
      <c r="B30" s="108" t="s">
        <v>38</v>
      </c>
      <c r="C30" s="350">
        <v>1</v>
      </c>
      <c r="D30" s="352">
        <f>+[1]สกพ.!Q2</f>
        <v>1885300</v>
      </c>
      <c r="E30" s="352"/>
      <c r="F30" s="352"/>
      <c r="G30" s="352"/>
      <c r="H30" s="719">
        <v>2</v>
      </c>
      <c r="I30" s="726" t="str">
        <f>+[1]สกพ.!Q3</f>
        <v>-</v>
      </c>
      <c r="J30" s="726"/>
      <c r="K30" s="726"/>
      <c r="L30" s="726"/>
      <c r="M30" s="724" t="str">
        <f>+[1]สกพ.!P4</f>
        <v>-</v>
      </c>
      <c r="N30" s="722" t="str">
        <f>+[1]สกพ.!Q4</f>
        <v>-</v>
      </c>
      <c r="O30" s="724"/>
      <c r="P30" s="724"/>
      <c r="Q30" s="742"/>
      <c r="R30" s="727" t="s">
        <v>209</v>
      </c>
      <c r="S30" s="352">
        <f>+[1]สกพ.!S2</f>
        <v>800000</v>
      </c>
      <c r="T30" s="352"/>
      <c r="U30" s="352"/>
      <c r="V30" s="352"/>
      <c r="W30" s="719" t="s">
        <v>209</v>
      </c>
      <c r="X30" s="726">
        <f>+[1]สกพ.!S3</f>
        <v>162441000</v>
      </c>
      <c r="Y30" s="726"/>
      <c r="Z30" s="726"/>
      <c r="AA30" s="726"/>
      <c r="AB30" s="724" t="str">
        <f>+[1]สกพ.!R4</f>
        <v>-</v>
      </c>
      <c r="AC30" s="724" t="str">
        <f>+[1]สกพ.!S4</f>
        <v>-</v>
      </c>
      <c r="AD30" s="724"/>
      <c r="AE30" s="724"/>
      <c r="AF30" s="742"/>
      <c r="AG30" s="725"/>
    </row>
    <row r="31" spans="1:33" ht="24" hidden="1" x14ac:dyDescent="0.55000000000000004">
      <c r="A31" s="109">
        <v>26</v>
      </c>
      <c r="B31" s="108" t="s">
        <v>130</v>
      </c>
      <c r="C31" s="350" t="s">
        <v>209</v>
      </c>
      <c r="D31" s="352">
        <f>+[1]สงป.!Q2</f>
        <v>1101100</v>
      </c>
      <c r="E31" s="352"/>
      <c r="F31" s="352"/>
      <c r="G31" s="352"/>
      <c r="H31" s="719" t="str">
        <f>+[1]สงป.!P3</f>
        <v>-</v>
      </c>
      <c r="I31" s="726" t="str">
        <f>+[1]สงป.!Q3</f>
        <v>-</v>
      </c>
      <c r="J31" s="726"/>
      <c r="K31" s="726"/>
      <c r="L31" s="726"/>
      <c r="M31" s="724" t="str">
        <f>+[1]สงป.!P4</f>
        <v>-</v>
      </c>
      <c r="N31" s="722" t="str">
        <f>+[1]สงป.!Q4</f>
        <v>-</v>
      </c>
      <c r="O31" s="724"/>
      <c r="P31" s="724"/>
      <c r="Q31" s="742"/>
      <c r="R31" s="723" t="str">
        <f>+[1]สงป.!R2</f>
        <v>-</v>
      </c>
      <c r="S31" s="352" t="str">
        <f>+[1]สงป.!S2</f>
        <v>-</v>
      </c>
      <c r="T31" s="352"/>
      <c r="U31" s="352"/>
      <c r="V31" s="352"/>
      <c r="W31" s="719" t="str">
        <f>+[1]สงป.!R3</f>
        <v>-</v>
      </c>
      <c r="X31" s="726" t="str">
        <f>+[1]สงป.!S3</f>
        <v>-</v>
      </c>
      <c r="Y31" s="726"/>
      <c r="Z31" s="726"/>
      <c r="AA31" s="726"/>
      <c r="AB31" s="724" t="str">
        <f>+[1]สงป.!R4</f>
        <v>-</v>
      </c>
      <c r="AC31" s="724" t="str">
        <f>+[1]สงป.!S4</f>
        <v>-</v>
      </c>
      <c r="AD31" s="724"/>
      <c r="AE31" s="724"/>
      <c r="AF31" s="742"/>
      <c r="AG31" s="725"/>
    </row>
    <row r="32" spans="1:33" ht="24" x14ac:dyDescent="0.55000000000000004">
      <c r="A32" s="109">
        <v>26</v>
      </c>
      <c r="B32" s="108" t="s">
        <v>45</v>
      </c>
      <c r="C32" s="350">
        <v>7</v>
      </c>
      <c r="D32" s="352">
        <f>+[1]กมค.!Q2</f>
        <v>4407800</v>
      </c>
      <c r="E32" s="352"/>
      <c r="F32" s="352"/>
      <c r="G32" s="352"/>
      <c r="H32" s="719" t="s">
        <v>209</v>
      </c>
      <c r="I32" s="726">
        <f>+[1]กมค.!Q3</f>
        <v>3136000</v>
      </c>
      <c r="J32" s="726"/>
      <c r="K32" s="726"/>
      <c r="L32" s="726"/>
      <c r="M32" s="724" t="str">
        <f>+[1]กมค.!P4</f>
        <v>-</v>
      </c>
      <c r="N32" s="722" t="str">
        <f>+[1]กมค.!Q4</f>
        <v>-</v>
      </c>
      <c r="O32" s="724"/>
      <c r="P32" s="724"/>
      <c r="Q32" s="742"/>
      <c r="R32" s="723" t="str">
        <f>+[1]กมค.!R2</f>
        <v>-</v>
      </c>
      <c r="S32" s="350" t="str">
        <f>+[1]กมค.!S2</f>
        <v>-</v>
      </c>
      <c r="T32" s="350"/>
      <c r="U32" s="350"/>
      <c r="V32" s="350"/>
      <c r="W32" s="719">
        <f>+[1]กมค.!R3</f>
        <v>2</v>
      </c>
      <c r="X32" s="726">
        <f>+[1]กมค.!S3</f>
        <v>7010000</v>
      </c>
      <c r="Y32" s="726"/>
      <c r="Z32" s="726"/>
      <c r="AA32" s="726"/>
      <c r="AB32" s="724" t="str">
        <f>+[1]กมค.!R4</f>
        <v>-</v>
      </c>
      <c r="AC32" s="724" t="str">
        <f>+[1]กมค.!S4</f>
        <v>-</v>
      </c>
      <c r="AD32" s="724"/>
      <c r="AE32" s="724"/>
      <c r="AF32" s="742"/>
      <c r="AG32" s="725"/>
    </row>
    <row r="33" spans="1:33" ht="24" hidden="1" x14ac:dyDescent="0.55000000000000004">
      <c r="A33" s="109">
        <v>28</v>
      </c>
      <c r="B33" s="108" t="s">
        <v>40</v>
      </c>
      <c r="C33" s="350" t="s">
        <v>209</v>
      </c>
      <c r="D33" s="352">
        <f>+[1]สง.ก.ตร.!Q2</f>
        <v>425900</v>
      </c>
      <c r="E33" s="352"/>
      <c r="F33" s="352"/>
      <c r="G33" s="352"/>
      <c r="H33" s="719" t="str">
        <f>+[1]สง.ก.ตร.!P3</f>
        <v>-</v>
      </c>
      <c r="I33" s="726" t="str">
        <f>+[1]สง.ก.ตร.!Q3</f>
        <v>-</v>
      </c>
      <c r="J33" s="726"/>
      <c r="K33" s="726"/>
      <c r="L33" s="726"/>
      <c r="M33" s="724" t="str">
        <f>+[1]สง.ก.ตร.!P4</f>
        <v>-</v>
      </c>
      <c r="N33" s="722" t="str">
        <f>+[1]สง.ก.ตร.!Q4</f>
        <v>-</v>
      </c>
      <c r="O33" s="724"/>
      <c r="P33" s="724"/>
      <c r="Q33" s="742"/>
      <c r="R33" s="723" t="str">
        <f>+[1]สง.ก.ตร.!R2</f>
        <v>-</v>
      </c>
      <c r="S33" s="352" t="str">
        <f>+[1]สง.ก.ตร.!S2</f>
        <v>-</v>
      </c>
      <c r="T33" s="352"/>
      <c r="U33" s="352"/>
      <c r="V33" s="352"/>
      <c r="W33" s="719" t="str">
        <f>+[1]สง.ก.ตร.!R3</f>
        <v>-</v>
      </c>
      <c r="X33" s="726" t="str">
        <f>+[1]สง.ก.ตร.!S3</f>
        <v>-</v>
      </c>
      <c r="Y33" s="726"/>
      <c r="Z33" s="726"/>
      <c r="AA33" s="726"/>
      <c r="AB33" s="724" t="str">
        <f>+[1]สง.ก.ตร.!R4</f>
        <v>-</v>
      </c>
      <c r="AC33" s="724" t="str">
        <f>+[1]สง.ก.ตร.!S4</f>
        <v>-</v>
      </c>
      <c r="AD33" s="724"/>
      <c r="AE33" s="724"/>
      <c r="AF33" s="742"/>
      <c r="AG33" s="725"/>
    </row>
    <row r="34" spans="1:33" ht="24" x14ac:dyDescent="0.55000000000000004">
      <c r="A34" s="109">
        <v>27</v>
      </c>
      <c r="B34" s="108" t="s">
        <v>36</v>
      </c>
      <c r="C34" s="350">
        <v>1</v>
      </c>
      <c r="D34" s="352">
        <f>+[1]จต.!Q2</f>
        <v>124000</v>
      </c>
      <c r="E34" s="352"/>
      <c r="F34" s="352"/>
      <c r="G34" s="352"/>
      <c r="H34" s="719" t="str">
        <f>+[1]จต.!P3</f>
        <v>-</v>
      </c>
      <c r="I34" s="726" t="str">
        <f>+[1]จต.!Q3</f>
        <v>-</v>
      </c>
      <c r="J34" s="726"/>
      <c r="K34" s="726"/>
      <c r="L34" s="726"/>
      <c r="M34" s="724" t="str">
        <f>+[1]จต.!P4</f>
        <v>-</v>
      </c>
      <c r="N34" s="722" t="str">
        <f>+[1]จต.!Q4</f>
        <v>-</v>
      </c>
      <c r="O34" s="724"/>
      <c r="P34" s="724"/>
      <c r="Q34" s="742"/>
      <c r="R34" s="723" t="str">
        <f>+[1]จต.!R2</f>
        <v>-</v>
      </c>
      <c r="S34" s="352" t="str">
        <f>+[1]จต.!S2</f>
        <v>-</v>
      </c>
      <c r="T34" s="352"/>
      <c r="U34" s="352"/>
      <c r="V34" s="352"/>
      <c r="W34" s="719" t="str">
        <f>+[1]จต.!R3</f>
        <v>-</v>
      </c>
      <c r="X34" s="726" t="str">
        <f>+[1]จต.!S3</f>
        <v>-</v>
      </c>
      <c r="Y34" s="726"/>
      <c r="Z34" s="726"/>
      <c r="AA34" s="726"/>
      <c r="AB34" s="724" t="str">
        <f>+[1]จต.!R4</f>
        <v>-</v>
      </c>
      <c r="AC34" s="724" t="str">
        <f>+[1]จต.!S4</f>
        <v>-</v>
      </c>
      <c r="AD34" s="724"/>
      <c r="AE34" s="724"/>
      <c r="AF34" s="742"/>
      <c r="AG34" s="725"/>
    </row>
    <row r="35" spans="1:33" ht="24" hidden="1" x14ac:dyDescent="0.55000000000000004">
      <c r="A35" s="109">
        <v>30</v>
      </c>
      <c r="B35" s="108" t="s">
        <v>43</v>
      </c>
      <c r="C35" s="350" t="str">
        <f>+[1]สตส.!N2</f>
        <v>-</v>
      </c>
      <c r="D35" s="352">
        <f>+[1]สตส.!O2</f>
        <v>0</v>
      </c>
      <c r="E35" s="352"/>
      <c r="F35" s="352"/>
      <c r="G35" s="352"/>
      <c r="H35" s="719" t="str">
        <f>+[1]สตส.!N3</f>
        <v>-</v>
      </c>
      <c r="I35" s="719" t="str">
        <f>+[1]สตส.!N4</f>
        <v>-</v>
      </c>
      <c r="J35" s="719"/>
      <c r="K35" s="719"/>
      <c r="L35" s="719"/>
      <c r="M35" s="724" t="str">
        <f>+[1]สตส.!N4</f>
        <v>-</v>
      </c>
      <c r="N35" s="722" t="str">
        <f>+[1]สตส.!O4</f>
        <v>-</v>
      </c>
      <c r="O35" s="724"/>
      <c r="P35" s="724"/>
      <c r="Q35" s="742"/>
      <c r="R35" s="723" t="str">
        <f>+[1]สตส.!P2</f>
        <v>-</v>
      </c>
      <c r="S35" s="352" t="str">
        <f>+[1]สตส.!Q2</f>
        <v>-</v>
      </c>
      <c r="T35" s="352"/>
      <c r="U35" s="352"/>
      <c r="V35" s="352"/>
      <c r="W35" s="719" t="str">
        <f>+[1]สตส.!P3</f>
        <v>-</v>
      </c>
      <c r="X35" s="726" t="str">
        <f>+[1]สตส.!Q3</f>
        <v>-</v>
      </c>
      <c r="Y35" s="726"/>
      <c r="Z35" s="726"/>
      <c r="AA35" s="726"/>
      <c r="AB35" s="724" t="str">
        <f>+[1]สตส.!P4</f>
        <v>-</v>
      </c>
      <c r="AC35" s="724" t="str">
        <f>+[1]สตส.!Q4</f>
        <v>-</v>
      </c>
      <c r="AD35" s="724"/>
      <c r="AE35" s="724"/>
      <c r="AF35" s="742"/>
      <c r="AG35" s="725"/>
    </row>
    <row r="36" spans="1:33" ht="24" hidden="1" x14ac:dyDescent="0.55000000000000004">
      <c r="A36" s="109">
        <v>31</v>
      </c>
      <c r="B36" s="108" t="s">
        <v>39</v>
      </c>
      <c r="C36" s="350" t="s">
        <v>209</v>
      </c>
      <c r="D36" s="352">
        <f>+[1]สลก.ตร.!Q2</f>
        <v>1279800</v>
      </c>
      <c r="E36" s="352"/>
      <c r="F36" s="352"/>
      <c r="G36" s="352"/>
      <c r="H36" s="719" t="str">
        <f>+[1]สลก.ตร.!P3</f>
        <v>-</v>
      </c>
      <c r="I36" s="726" t="str">
        <f>+[1]สลก.ตร.!Q3</f>
        <v>-</v>
      </c>
      <c r="J36" s="726"/>
      <c r="K36" s="726"/>
      <c r="L36" s="726"/>
      <c r="M36" s="724" t="str">
        <f>+[1]สลก.ตร.!P4</f>
        <v>-</v>
      </c>
      <c r="N36" s="722" t="str">
        <f>+[1]สลก.ตร.!Q4</f>
        <v>-</v>
      </c>
      <c r="O36" s="724"/>
      <c r="P36" s="724"/>
      <c r="Q36" s="742"/>
      <c r="R36" s="723" t="str">
        <f>+[1]สลก.ตร.!R2</f>
        <v>-</v>
      </c>
      <c r="S36" s="352" t="str">
        <f>+[1]สลก.ตร.!S2</f>
        <v>-</v>
      </c>
      <c r="T36" s="352"/>
      <c r="U36" s="352"/>
      <c r="V36" s="352"/>
      <c r="W36" s="719" t="str">
        <f>+[1]สลก.ตร.!R3</f>
        <v>-</v>
      </c>
      <c r="X36" s="726" t="str">
        <f>+[1]สลก.ตร.!S3</f>
        <v>-</v>
      </c>
      <c r="Y36" s="726"/>
      <c r="Z36" s="726"/>
      <c r="AA36" s="726"/>
      <c r="AB36" s="724" t="str">
        <f>+[1]สลก.ตร.!R4</f>
        <v>-</v>
      </c>
      <c r="AC36" s="724" t="str">
        <f>+[1]สลก.ตร.!S4</f>
        <v>-</v>
      </c>
      <c r="AD36" s="724"/>
      <c r="AE36" s="724"/>
      <c r="AF36" s="742"/>
      <c r="AG36" s="725"/>
    </row>
    <row r="37" spans="1:33" ht="24" x14ac:dyDescent="0.55000000000000004">
      <c r="A37" s="109">
        <v>28</v>
      </c>
      <c r="B37" s="108" t="s">
        <v>42</v>
      </c>
      <c r="C37" s="350">
        <v>9</v>
      </c>
      <c r="D37" s="352">
        <f>+[1]ตท.!Q2</f>
        <v>1019900</v>
      </c>
      <c r="E37" s="352"/>
      <c r="F37" s="352"/>
      <c r="G37" s="352"/>
      <c r="H37" s="719" t="str">
        <f>+[1]ตท.!P3</f>
        <v>-</v>
      </c>
      <c r="I37" s="726" t="str">
        <f>+[1]ตท.!Q3</f>
        <v>-</v>
      </c>
      <c r="J37" s="726"/>
      <c r="K37" s="726"/>
      <c r="L37" s="726"/>
      <c r="M37" s="724" t="str">
        <f>+[1]ตท.!P4</f>
        <v>-</v>
      </c>
      <c r="N37" s="722" t="str">
        <f>+[1]ตท.!Q4</f>
        <v>-</v>
      </c>
      <c r="O37" s="724"/>
      <c r="P37" s="724"/>
      <c r="Q37" s="742"/>
      <c r="R37" s="723" t="str">
        <f>+[1]ตท.!R2</f>
        <v>-</v>
      </c>
      <c r="S37" s="352" t="str">
        <f>+[1]ตท.!S2</f>
        <v>-</v>
      </c>
      <c r="T37" s="352"/>
      <c r="U37" s="352"/>
      <c r="V37" s="352"/>
      <c r="W37" s="719" t="str">
        <f>+[1]ตท.!R3</f>
        <v>-</v>
      </c>
      <c r="X37" s="726" t="str">
        <f>+[1]ตท.!S3</f>
        <v>-</v>
      </c>
      <c r="Y37" s="726"/>
      <c r="Z37" s="726"/>
      <c r="AA37" s="726"/>
      <c r="AB37" s="724" t="str">
        <f>+[1]ตท.!R4</f>
        <v>-</v>
      </c>
      <c r="AC37" s="724" t="str">
        <f>+[1]ตท.!S4</f>
        <v>-</v>
      </c>
      <c r="AD37" s="724"/>
      <c r="AE37" s="724"/>
      <c r="AF37" s="742"/>
      <c r="AG37" s="725"/>
    </row>
    <row r="38" spans="1:33" ht="24" x14ac:dyDescent="0.55000000000000004">
      <c r="A38" s="109">
        <v>29</v>
      </c>
      <c r="B38" s="108" t="s">
        <v>31</v>
      </c>
      <c r="C38" s="350">
        <f>+[1]สท.!P2</f>
        <v>6</v>
      </c>
      <c r="D38" s="352">
        <f>+[1]สท.!Q2</f>
        <v>728000</v>
      </c>
      <c r="E38" s="352"/>
      <c r="F38" s="352"/>
      <c r="G38" s="352"/>
      <c r="H38" s="719">
        <f>+[1]สท.!P3</f>
        <v>1</v>
      </c>
      <c r="I38" s="726">
        <f>+[1]สท.!Q3</f>
        <v>3014700</v>
      </c>
      <c r="J38" s="726"/>
      <c r="K38" s="726"/>
      <c r="L38" s="726"/>
      <c r="M38" s="724" t="str">
        <f>+[1]สท.!P4</f>
        <v>-</v>
      </c>
      <c r="N38" s="722" t="str">
        <f>+[1]สท.!Q4</f>
        <v>-</v>
      </c>
      <c r="O38" s="724"/>
      <c r="P38" s="724"/>
      <c r="Q38" s="742"/>
      <c r="R38" s="723" t="str">
        <f>+[1]สท.!R2</f>
        <v>-</v>
      </c>
      <c r="S38" s="352" t="str">
        <f>+[1]สท.!S2</f>
        <v>-</v>
      </c>
      <c r="T38" s="352"/>
      <c r="U38" s="352"/>
      <c r="V38" s="352"/>
      <c r="W38" s="719" t="str">
        <f>+[1]สท.!R3</f>
        <v>-</v>
      </c>
      <c r="X38" s="726" t="str">
        <f>+[1]สท.!S3</f>
        <v>-</v>
      </c>
      <c r="Y38" s="726"/>
      <c r="Z38" s="726"/>
      <c r="AA38" s="726"/>
      <c r="AB38" s="724" t="str">
        <f>+[1]สท.!R4</f>
        <v>-</v>
      </c>
      <c r="AC38" s="724" t="str">
        <f>+[1]สท.!S4</f>
        <v>-</v>
      </c>
      <c r="AD38" s="724"/>
      <c r="AE38" s="724"/>
      <c r="AF38" s="742"/>
      <c r="AG38" s="725"/>
    </row>
    <row r="39" spans="1:33" ht="24" hidden="1" x14ac:dyDescent="0.55000000000000004">
      <c r="A39" s="109">
        <v>34</v>
      </c>
      <c r="B39" s="108" t="s">
        <v>152</v>
      </c>
      <c r="C39" s="350" t="str">
        <f>+[1]สง.ก.ต.ช.!N2</f>
        <v>-</v>
      </c>
      <c r="D39" s="352">
        <f>+[1]สง.ก.ต.ช.!O2</f>
        <v>0</v>
      </c>
      <c r="E39" s="352"/>
      <c r="F39" s="352"/>
      <c r="G39" s="352"/>
      <c r="H39" s="719" t="str">
        <f>+[1]สง.ก.ต.ช.!N3</f>
        <v>-</v>
      </c>
      <c r="I39" s="726" t="str">
        <f>+[1]สง.ก.ต.ช.!O3</f>
        <v>-</v>
      </c>
      <c r="J39" s="726"/>
      <c r="K39" s="726"/>
      <c r="L39" s="726"/>
      <c r="M39" s="724" t="str">
        <f>+[1]สง.ก.ต.ช.!N4</f>
        <v>-</v>
      </c>
      <c r="N39" s="722" t="str">
        <f>+[1]สง.ก.ต.ช.!O4</f>
        <v>-</v>
      </c>
      <c r="O39" s="724"/>
      <c r="P39" s="724"/>
      <c r="Q39" s="742"/>
      <c r="R39" s="723" t="str">
        <f>+[1]สง.ก.ต.ช.!P2</f>
        <v>-</v>
      </c>
      <c r="S39" s="352" t="str">
        <f>+[1]สง.ก.ต.ช.!Q2</f>
        <v>-</v>
      </c>
      <c r="T39" s="352"/>
      <c r="U39" s="352"/>
      <c r="V39" s="352"/>
      <c r="W39" s="719" t="str">
        <f>+[1]สง.ก.ต.ช.!P3</f>
        <v>-</v>
      </c>
      <c r="X39" s="726" t="str">
        <f>+[1]สง.ก.ต.ช.!Q3</f>
        <v>-</v>
      </c>
      <c r="Y39" s="726"/>
      <c r="Z39" s="726"/>
      <c r="AA39" s="726"/>
      <c r="AB39" s="724" t="str">
        <f>+[1]สง.ก.ต.ช.!P4</f>
        <v>-</v>
      </c>
      <c r="AC39" s="724" t="str">
        <f>+[1]สง.ก.ต.ช.!Q4</f>
        <v>-</v>
      </c>
      <c r="AD39" s="724"/>
      <c r="AE39" s="724"/>
      <c r="AF39" s="742"/>
      <c r="AG39" s="725"/>
    </row>
    <row r="40" spans="1:33" ht="24" x14ac:dyDescent="0.55000000000000004">
      <c r="A40" s="109">
        <v>30</v>
      </c>
      <c r="B40" s="108" t="s">
        <v>208</v>
      </c>
      <c r="C40" s="350">
        <v>5</v>
      </c>
      <c r="D40" s="352">
        <f>+[1]บ.ตร.!Q2</f>
        <v>1233000</v>
      </c>
      <c r="E40" s="352"/>
      <c r="F40" s="352"/>
      <c r="G40" s="352"/>
      <c r="H40" s="719">
        <f>+[1]บ.ตร.!P3</f>
        <v>5</v>
      </c>
      <c r="I40" s="726">
        <f>+[1]บ.ตร.!Q3</f>
        <v>841500000</v>
      </c>
      <c r="J40" s="726"/>
      <c r="K40" s="726"/>
      <c r="L40" s="726"/>
      <c r="M40" s="724" t="str">
        <f>+[1]บ.ตร.!P4</f>
        <v>-</v>
      </c>
      <c r="N40" s="728" t="str">
        <f>+[1]บ.ตร.!Q4</f>
        <v>-</v>
      </c>
      <c r="O40" s="721"/>
      <c r="P40" s="721"/>
      <c r="Q40" s="743"/>
      <c r="R40" s="727">
        <f>+[1]บ.ตร.!R2</f>
        <v>1</v>
      </c>
      <c r="S40" s="352">
        <f>+[1]บ.ตร.!S2</f>
        <v>2000000</v>
      </c>
      <c r="T40" s="352"/>
      <c r="U40" s="352"/>
      <c r="V40" s="352"/>
      <c r="W40" s="719">
        <f>+[1]บ.ตร.!R3</f>
        <v>3</v>
      </c>
      <c r="X40" s="726">
        <f>+[1]บ.ตร.!S3</f>
        <v>37254800</v>
      </c>
      <c r="Y40" s="726"/>
      <c r="Z40" s="726"/>
      <c r="AA40" s="726"/>
      <c r="AB40" s="724" t="str">
        <f>+[1]บ.ตร.!R4</f>
        <v>-</v>
      </c>
      <c r="AC40" s="724" t="str">
        <f>+[1]บ.ตร.!S4</f>
        <v>-</v>
      </c>
      <c r="AD40" s="724"/>
      <c r="AE40" s="724"/>
      <c r="AF40" s="742"/>
      <c r="AG40" s="725"/>
    </row>
    <row r="41" spans="1:33" ht="24" hidden="1" x14ac:dyDescent="0.55000000000000004">
      <c r="A41" s="109">
        <v>36</v>
      </c>
      <c r="B41" s="108" t="s">
        <v>44</v>
      </c>
      <c r="C41" s="350" t="s">
        <v>209</v>
      </c>
      <c r="D41" s="352">
        <f>+[1]วน.!Q2</f>
        <v>1037000</v>
      </c>
      <c r="E41" s="352"/>
      <c r="F41" s="352"/>
      <c r="G41" s="352"/>
      <c r="H41" s="719" t="str">
        <f>+[1]วน.!P3</f>
        <v>-</v>
      </c>
      <c r="I41" s="726" t="str">
        <f>+[1]วน.!Q3</f>
        <v>-</v>
      </c>
      <c r="J41" s="726"/>
      <c r="K41" s="726"/>
      <c r="L41" s="726"/>
      <c r="M41" s="724" t="str">
        <f>+[1]วน.!P4</f>
        <v>-</v>
      </c>
      <c r="N41" s="722" t="str">
        <f>+[1]วน.!Q4</f>
        <v>-</v>
      </c>
      <c r="O41" s="724"/>
      <c r="P41" s="724"/>
      <c r="Q41" s="742"/>
      <c r="R41" s="723" t="str">
        <f>+[1]วน.!R2</f>
        <v>-</v>
      </c>
      <c r="S41" s="352" t="str">
        <f>+[1]วน.!S2</f>
        <v>-</v>
      </c>
      <c r="T41" s="352"/>
      <c r="U41" s="352"/>
      <c r="V41" s="352"/>
      <c r="W41" s="719" t="str">
        <f>+[1]วน.!R3</f>
        <v>-</v>
      </c>
      <c r="X41" s="726" t="str">
        <f>+[1]วน.!S3</f>
        <v>-</v>
      </c>
      <c r="Y41" s="726"/>
      <c r="Z41" s="726"/>
      <c r="AA41" s="726"/>
      <c r="AB41" s="724" t="str">
        <f>+[1]วน.!R4</f>
        <v>-</v>
      </c>
      <c r="AC41" s="724" t="str">
        <f>+[1]วน.!S4</f>
        <v>-</v>
      </c>
      <c r="AD41" s="724"/>
      <c r="AE41" s="724"/>
      <c r="AF41" s="742"/>
      <c r="AG41" s="725"/>
    </row>
    <row r="42" spans="1:33" ht="24" x14ac:dyDescent="0.55000000000000004">
      <c r="A42" s="38"/>
      <c r="B42" s="729" t="s">
        <v>197</v>
      </c>
      <c r="C42" s="730">
        <f t="shared" ref="C42:AC42" si="0">SUM(C6:C41)</f>
        <v>214</v>
      </c>
      <c r="D42" s="731">
        <f t="shared" si="0"/>
        <v>153188700</v>
      </c>
      <c r="E42" s="731"/>
      <c r="F42" s="731"/>
      <c r="G42" s="731"/>
      <c r="H42" s="732">
        <f t="shared" si="0"/>
        <v>68</v>
      </c>
      <c r="I42" s="733">
        <f t="shared" si="0"/>
        <v>2258986500</v>
      </c>
      <c r="J42" s="733"/>
      <c r="K42" s="733"/>
      <c r="L42" s="733"/>
      <c r="M42" s="734">
        <f t="shared" si="0"/>
        <v>2</v>
      </c>
      <c r="N42" s="735">
        <f t="shared" si="0"/>
        <v>2094154900</v>
      </c>
      <c r="O42" s="737"/>
      <c r="P42" s="737"/>
      <c r="Q42" s="744"/>
      <c r="R42" s="736">
        <f t="shared" si="0"/>
        <v>51</v>
      </c>
      <c r="S42" s="731">
        <f t="shared" si="0"/>
        <v>48038100</v>
      </c>
      <c r="T42" s="731"/>
      <c r="U42" s="731"/>
      <c r="V42" s="731"/>
      <c r="W42" s="732">
        <f t="shared" si="0"/>
        <v>87</v>
      </c>
      <c r="X42" s="733">
        <f t="shared" si="0"/>
        <v>4485292300</v>
      </c>
      <c r="Y42" s="733"/>
      <c r="Z42" s="733"/>
      <c r="AA42" s="733"/>
      <c r="AB42" s="734">
        <f t="shared" si="0"/>
        <v>0</v>
      </c>
      <c r="AC42" s="737">
        <f t="shared" si="0"/>
        <v>874686300</v>
      </c>
      <c r="AD42" s="737"/>
      <c r="AE42" s="737"/>
      <c r="AF42" s="744"/>
      <c r="AG42" s="738"/>
    </row>
    <row r="43" spans="1:33" ht="24" x14ac:dyDescent="0.2">
      <c r="A43" s="362"/>
      <c r="B43" s="739"/>
    </row>
  </sheetData>
  <mergeCells count="11">
    <mergeCell ref="A1:AC1"/>
    <mergeCell ref="A3:A5"/>
    <mergeCell ref="B3:B5"/>
    <mergeCell ref="R3:AF3"/>
    <mergeCell ref="C3:Q3"/>
    <mergeCell ref="C4:G4"/>
    <mergeCell ref="H4:L4"/>
    <mergeCell ref="M4:Q4"/>
    <mergeCell ref="R4:V4"/>
    <mergeCell ref="W4:AA4"/>
    <mergeCell ref="AB4:AF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62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5703125" style="3" customWidth="1"/>
    <col min="4" max="4" width="6.5703125" style="3" customWidth="1"/>
    <col min="5" max="5" width="43" style="1" customWidth="1"/>
    <col min="6" max="6" width="14.85546875" style="4" customWidth="1"/>
    <col min="7" max="7" width="13" style="106" customWidth="1"/>
    <col min="8" max="8" width="13" style="106" hidden="1" customWidth="1"/>
    <col min="9" max="9" width="30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0.140625" style="106" customWidth="1"/>
    <col min="15" max="15" width="5" style="441" customWidth="1"/>
    <col min="16" max="16" width="19.5703125" style="434" bestFit="1" customWidth="1"/>
    <col min="17" max="17" width="9.140625" style="434"/>
    <col min="18" max="18" width="13.5703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6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6"/>
      <c r="P2" s="435" t="s">
        <v>522</v>
      </c>
      <c r="Q2" s="434">
        <v>47</v>
      </c>
      <c r="R2" s="436" t="e">
        <f>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S2" s="467">
        <v>34</v>
      </c>
      <c r="T2" s="436" t="e">
        <f>+#REF!+#REF!+#REF!+#REF!+#REF!+#REF!+#REF!+#REF!+#REF!+#REF!+#REF!+#REF!+#REF!+#REF!+#REF!+#REF!+#REF!+#REF!+#REF!+#REF!+#REF!+#REF!+#REF!+#REF!+#REF!+#REF!+#REF!+#REF!+#REF!+#REF!+#REF!+#REF!+#REF!+#REF!</f>
        <v>#REF!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6"/>
      <c r="P3" s="437" t="s">
        <v>523</v>
      </c>
      <c r="Q3" s="438">
        <v>12</v>
      </c>
      <c r="R3" s="439" t="e">
        <f>+#REF!+#REF!+#REF!+#REF!+#REF!+#REF!+#REF!+#REF!+#REF!+#REF!+#REF!+#REF!</f>
        <v>#REF!</v>
      </c>
      <c r="S3" s="440">
        <v>18</v>
      </c>
      <c r="T3" s="439" t="e">
        <f>+#REF!+#REF!+#REF!+#REF!+#REF!+#REF!+#REF!+#REF!+#REF!+#REF!+#REF!+#REF!+#REF!+#REF!+#REF!+#REF!+#REF!+#REF!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5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5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5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5"/>
      <c r="Q8" s="788"/>
      <c r="R8" s="788"/>
    </row>
    <row r="9" spans="1:39" x14ac:dyDescent="0.5">
      <c r="A9" s="12"/>
      <c r="B9" s="12"/>
      <c r="C9" s="12"/>
      <c r="D9" s="12"/>
      <c r="E9" s="32" t="s">
        <v>145</v>
      </c>
      <c r="F9" s="12"/>
      <c r="G9" s="105"/>
      <c r="H9" s="105"/>
      <c r="I9" s="105"/>
      <c r="J9" s="105"/>
      <c r="K9" s="189"/>
      <c r="L9" s="189"/>
      <c r="M9" s="105"/>
      <c r="N9" s="105"/>
      <c r="O9" s="44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302" customFormat="1" ht="87" x14ac:dyDescent="0.2">
      <c r="A11" s="486">
        <v>1</v>
      </c>
      <c r="B11" s="486"/>
      <c r="C11" s="651" t="s">
        <v>447</v>
      </c>
      <c r="D11" s="486"/>
      <c r="E11" s="530" t="s">
        <v>235</v>
      </c>
      <c r="F11" s="531">
        <v>15816000</v>
      </c>
      <c r="G11" s="488"/>
      <c r="H11" s="488"/>
      <c r="I11" s="581" t="s">
        <v>662</v>
      </c>
      <c r="J11" s="548"/>
      <c r="K11" s="548"/>
      <c r="L11" s="548"/>
      <c r="M11" s="581" t="s">
        <v>663</v>
      </c>
      <c r="N11" s="581"/>
      <c r="O11" s="469">
        <v>2</v>
      </c>
      <c r="P11" s="454"/>
      <c r="Q11" s="454"/>
      <c r="R11" s="454"/>
      <c r="S11" s="454"/>
      <c r="T11" s="454"/>
    </row>
    <row r="12" spans="1:39" s="302" customFormat="1" ht="65.25" x14ac:dyDescent="0.2">
      <c r="A12" s="486">
        <v>2</v>
      </c>
      <c r="B12" s="486"/>
      <c r="C12" s="651" t="s">
        <v>447</v>
      </c>
      <c r="D12" s="486"/>
      <c r="E12" s="530" t="s">
        <v>236</v>
      </c>
      <c r="F12" s="531">
        <v>17000000</v>
      </c>
      <c r="G12" s="488"/>
      <c r="H12" s="488"/>
      <c r="I12" s="581" t="s">
        <v>662</v>
      </c>
      <c r="J12" s="548"/>
      <c r="K12" s="548"/>
      <c r="L12" s="548"/>
      <c r="M12" s="581" t="s">
        <v>664</v>
      </c>
      <c r="N12" s="581"/>
      <c r="O12" s="469">
        <v>2</v>
      </c>
      <c r="P12" s="454"/>
      <c r="Q12" s="454"/>
      <c r="R12" s="454"/>
      <c r="S12" s="454"/>
      <c r="T12" s="454"/>
    </row>
    <row r="13" spans="1:39" s="302" customFormat="1" ht="65.25" x14ac:dyDescent="0.2">
      <c r="A13" s="486">
        <v>3</v>
      </c>
      <c r="B13" s="486"/>
      <c r="C13" s="486" t="s">
        <v>206</v>
      </c>
      <c r="D13" s="486" t="s">
        <v>145</v>
      </c>
      <c r="E13" s="530" t="s">
        <v>228</v>
      </c>
      <c r="F13" s="531">
        <v>8000000</v>
      </c>
      <c r="G13" s="488"/>
      <c r="H13" s="488"/>
      <c r="I13" s="554" t="s">
        <v>662</v>
      </c>
      <c r="J13" s="548"/>
      <c r="K13" s="548"/>
      <c r="L13" s="548"/>
      <c r="M13" s="554" t="s">
        <v>665</v>
      </c>
      <c r="N13" s="554"/>
      <c r="O13" s="469">
        <v>2</v>
      </c>
      <c r="P13" s="454"/>
      <c r="Q13" s="454"/>
      <c r="R13" s="454"/>
      <c r="S13" s="454"/>
      <c r="T13" s="454"/>
    </row>
    <row r="14" spans="1:39" s="302" customFormat="1" ht="65.25" x14ac:dyDescent="0.2">
      <c r="A14" s="486">
        <v>4</v>
      </c>
      <c r="B14" s="486"/>
      <c r="C14" s="486" t="s">
        <v>206</v>
      </c>
      <c r="D14" s="486" t="s">
        <v>145</v>
      </c>
      <c r="E14" s="530" t="s">
        <v>229</v>
      </c>
      <c r="F14" s="531">
        <v>11000000</v>
      </c>
      <c r="G14" s="488"/>
      <c r="H14" s="488"/>
      <c r="I14" s="554" t="s">
        <v>662</v>
      </c>
      <c r="J14" s="548"/>
      <c r="K14" s="548"/>
      <c r="L14" s="548"/>
      <c r="M14" s="554" t="s">
        <v>665</v>
      </c>
      <c r="N14" s="554"/>
      <c r="O14" s="469">
        <v>2</v>
      </c>
      <c r="P14" s="454"/>
      <c r="Q14" s="454"/>
      <c r="R14" s="454"/>
      <c r="S14" s="454"/>
      <c r="T14" s="454"/>
    </row>
    <row r="15" spans="1:39" s="302" customFormat="1" ht="56.25" x14ac:dyDescent="0.2">
      <c r="A15" s="275">
        <v>5</v>
      </c>
      <c r="B15" s="275"/>
      <c r="C15" s="652" t="s">
        <v>446</v>
      </c>
      <c r="D15" s="275" t="s">
        <v>145</v>
      </c>
      <c r="E15" s="518" t="s">
        <v>234</v>
      </c>
      <c r="F15" s="519">
        <v>918000</v>
      </c>
      <c r="G15" s="298"/>
      <c r="H15" s="298"/>
      <c r="I15" s="551"/>
      <c r="J15" s="548"/>
      <c r="K15" s="548"/>
      <c r="L15" s="548"/>
      <c r="M15" s="551" t="s">
        <v>667</v>
      </c>
      <c r="N15" s="551"/>
      <c r="O15" s="469">
        <v>1</v>
      </c>
      <c r="P15" s="454"/>
      <c r="Q15" s="454"/>
      <c r="R15" s="454"/>
      <c r="S15" s="454"/>
      <c r="T15" s="454"/>
    </row>
    <row r="16" spans="1:39" s="302" customFormat="1" ht="65.25" x14ac:dyDescent="0.2">
      <c r="A16" s="275">
        <v>6</v>
      </c>
      <c r="B16" s="275"/>
      <c r="C16" s="652" t="s">
        <v>445</v>
      </c>
      <c r="D16" s="275" t="s">
        <v>145</v>
      </c>
      <c r="E16" s="518" t="s">
        <v>265</v>
      </c>
      <c r="F16" s="519">
        <v>896000</v>
      </c>
      <c r="G16" s="298"/>
      <c r="H16" s="298"/>
      <c r="I16" s="548" t="s">
        <v>666</v>
      </c>
      <c r="J16" s="548"/>
      <c r="K16" s="548"/>
      <c r="L16" s="548"/>
      <c r="M16" s="548" t="s">
        <v>668</v>
      </c>
      <c r="N16" s="548"/>
      <c r="O16" s="469">
        <v>1</v>
      </c>
      <c r="P16" s="454"/>
      <c r="Q16" s="454"/>
      <c r="R16" s="454"/>
      <c r="S16" s="454"/>
      <c r="T16" s="454"/>
    </row>
    <row r="17" spans="1:20" s="302" customFormat="1" ht="65.25" x14ac:dyDescent="0.2">
      <c r="A17" s="275">
        <v>7</v>
      </c>
      <c r="B17" s="275"/>
      <c r="C17" s="652" t="s">
        <v>445</v>
      </c>
      <c r="D17" s="275" t="s">
        <v>145</v>
      </c>
      <c r="E17" s="518" t="s">
        <v>266</v>
      </c>
      <c r="F17" s="519">
        <v>821000</v>
      </c>
      <c r="G17" s="298"/>
      <c r="H17" s="298"/>
      <c r="I17" s="548" t="s">
        <v>666</v>
      </c>
      <c r="J17" s="548"/>
      <c r="K17" s="548"/>
      <c r="L17" s="548"/>
      <c r="M17" s="548" t="s">
        <v>669</v>
      </c>
      <c r="N17" s="548"/>
      <c r="O17" s="469">
        <v>1</v>
      </c>
      <c r="P17" s="454"/>
      <c r="Q17" s="454"/>
      <c r="R17" s="454"/>
      <c r="S17" s="454"/>
      <c r="T17" s="454"/>
    </row>
    <row r="18" spans="1:20" s="302" customFormat="1" ht="43.5" x14ac:dyDescent="0.2">
      <c r="A18" s="486">
        <v>8</v>
      </c>
      <c r="B18" s="486"/>
      <c r="C18" s="651" t="s">
        <v>445</v>
      </c>
      <c r="D18" s="486" t="s">
        <v>145</v>
      </c>
      <c r="E18" s="530" t="s">
        <v>231</v>
      </c>
      <c r="F18" s="531">
        <v>2119000</v>
      </c>
      <c r="G18" s="488"/>
      <c r="H18" s="488"/>
      <c r="I18" s="554" t="s">
        <v>666</v>
      </c>
      <c r="J18" s="548"/>
      <c r="K18" s="548"/>
      <c r="L18" s="548"/>
      <c r="M18" s="554" t="s">
        <v>670</v>
      </c>
      <c r="N18" s="554"/>
      <c r="O18" s="469">
        <v>2</v>
      </c>
      <c r="P18" s="454"/>
      <c r="Q18" s="454"/>
      <c r="R18" s="454"/>
      <c r="S18" s="454"/>
      <c r="T18" s="454"/>
    </row>
    <row r="19" spans="1:20" s="302" customFormat="1" ht="65.25" x14ac:dyDescent="0.2">
      <c r="A19" s="486">
        <v>9</v>
      </c>
      <c r="B19" s="486"/>
      <c r="C19" s="651" t="s">
        <v>445</v>
      </c>
      <c r="D19" s="486" t="s">
        <v>145</v>
      </c>
      <c r="E19" s="530" t="s">
        <v>232</v>
      </c>
      <c r="F19" s="531">
        <v>2119000</v>
      </c>
      <c r="G19" s="488"/>
      <c r="H19" s="488"/>
      <c r="I19" s="554" t="s">
        <v>666</v>
      </c>
      <c r="J19" s="548"/>
      <c r="K19" s="548"/>
      <c r="L19" s="548"/>
      <c r="M19" s="554" t="s">
        <v>671</v>
      </c>
      <c r="N19" s="554"/>
      <c r="O19" s="469">
        <v>2</v>
      </c>
      <c r="P19" s="454"/>
      <c r="Q19" s="454"/>
      <c r="R19" s="454"/>
      <c r="S19" s="454"/>
      <c r="T19" s="454"/>
    </row>
    <row r="20" spans="1:20" s="302" customFormat="1" ht="43.5" x14ac:dyDescent="0.2">
      <c r="A20" s="275">
        <v>10</v>
      </c>
      <c r="B20" s="275"/>
      <c r="C20" s="652" t="s">
        <v>445</v>
      </c>
      <c r="D20" s="275" t="s">
        <v>145</v>
      </c>
      <c r="E20" s="518" t="s">
        <v>233</v>
      </c>
      <c r="F20" s="519">
        <v>1088000</v>
      </c>
      <c r="G20" s="298"/>
      <c r="H20" s="298"/>
      <c r="I20" s="548"/>
      <c r="J20" s="548"/>
      <c r="K20" s="548"/>
      <c r="L20" s="548"/>
      <c r="M20" s="548" t="s">
        <v>672</v>
      </c>
      <c r="N20" s="548"/>
      <c r="O20" s="469">
        <v>1</v>
      </c>
      <c r="P20" s="454"/>
      <c r="Q20" s="454"/>
      <c r="R20" s="454"/>
      <c r="S20" s="454"/>
      <c r="T20" s="454"/>
    </row>
    <row r="21" spans="1:20" s="9" customFormat="1" x14ac:dyDescent="0.2">
      <c r="A21" s="6"/>
      <c r="B21" s="13"/>
      <c r="C21" s="13"/>
      <c r="D21" s="13"/>
      <c r="E21" s="7"/>
      <c r="F21" s="334"/>
      <c r="G21" s="11"/>
      <c r="H21" s="11"/>
      <c r="I21" s="11"/>
      <c r="J21" s="11"/>
      <c r="K21" s="10"/>
      <c r="L21" s="10"/>
      <c r="M21" s="11"/>
      <c r="N21" s="11"/>
      <c r="O21" s="445"/>
      <c r="P21" s="437"/>
      <c r="Q21" s="437"/>
      <c r="R21" s="437"/>
      <c r="S21" s="437"/>
      <c r="T21" s="437"/>
    </row>
    <row r="22" spans="1:20" s="14" customFormat="1" x14ac:dyDescent="0.5">
      <c r="A22" s="241">
        <f>+A20</f>
        <v>10</v>
      </c>
      <c r="B22" s="241"/>
      <c r="C22" s="241"/>
      <c r="D22" s="241"/>
      <c r="E22" s="242" t="s">
        <v>47</v>
      </c>
      <c r="F22" s="329">
        <f>SUM(F11:F21)</f>
        <v>59777000</v>
      </c>
      <c r="G22" s="243">
        <f>SUM(G21:G21)</f>
        <v>0</v>
      </c>
      <c r="H22" s="243">
        <f>SUM(H21:H21)</f>
        <v>0</v>
      </c>
      <c r="I22" s="243"/>
      <c r="J22" s="243">
        <f>SUM(J21:J21)</f>
        <v>0</v>
      </c>
      <c r="K22" s="243">
        <f>SUM(K21:K21)</f>
        <v>0</v>
      </c>
      <c r="L22" s="243">
        <f>SUM(L21:L21)</f>
        <v>0</v>
      </c>
      <c r="M22" s="243"/>
      <c r="N22" s="243"/>
      <c r="O22" s="449"/>
      <c r="P22" s="450">
        <f>+F22+G22</f>
        <v>59777000</v>
      </c>
      <c r="Q22" s="451"/>
      <c r="R22" s="451"/>
      <c r="S22" s="452"/>
      <c r="T22" s="452"/>
    </row>
    <row r="23" spans="1:20" s="19" customFormat="1" x14ac:dyDescent="0.2">
      <c r="A23" s="17"/>
      <c r="B23" s="17"/>
      <c r="C23" s="17"/>
      <c r="D23" s="17"/>
      <c r="E23" s="30" t="s">
        <v>10</v>
      </c>
      <c r="F23" s="336"/>
      <c r="G23" s="34"/>
      <c r="H23" s="34"/>
      <c r="I23" s="34"/>
      <c r="J23" s="34"/>
      <c r="K23" s="18"/>
      <c r="L23" s="18"/>
      <c r="M23" s="34"/>
      <c r="N23" s="34"/>
      <c r="O23" s="445"/>
      <c r="P23" s="453"/>
      <c r="Q23" s="453"/>
      <c r="R23" s="453"/>
      <c r="S23" s="453"/>
      <c r="T23" s="453"/>
    </row>
    <row r="24" spans="1:20" s="19" customFormat="1" ht="43.5" x14ac:dyDescent="0.2">
      <c r="A24" s="486">
        <v>1</v>
      </c>
      <c r="B24" s="486"/>
      <c r="C24" s="651" t="s">
        <v>445</v>
      </c>
      <c r="D24" s="486" t="s">
        <v>145</v>
      </c>
      <c r="E24" s="530" t="s">
        <v>257</v>
      </c>
      <c r="F24" s="531">
        <v>4109000</v>
      </c>
      <c r="G24" s="488"/>
      <c r="H24" s="654"/>
      <c r="I24" s="659"/>
      <c r="J24" s="548"/>
      <c r="K24" s="548"/>
      <c r="L24" s="548"/>
      <c r="M24" s="659" t="s">
        <v>673</v>
      </c>
      <c r="N24" s="659"/>
      <c r="O24" s="464">
        <v>2</v>
      </c>
      <c r="P24" s="453"/>
      <c r="Q24" s="453"/>
      <c r="R24" s="453"/>
      <c r="S24" s="453"/>
      <c r="T24" s="453"/>
    </row>
    <row r="25" spans="1:20" s="19" customFormat="1" ht="43.5" x14ac:dyDescent="0.2">
      <c r="A25" s="486">
        <v>2</v>
      </c>
      <c r="B25" s="486"/>
      <c r="C25" s="651" t="s">
        <v>445</v>
      </c>
      <c r="D25" s="486" t="s">
        <v>145</v>
      </c>
      <c r="E25" s="530" t="s">
        <v>258</v>
      </c>
      <c r="F25" s="531">
        <v>4109000</v>
      </c>
      <c r="G25" s="488"/>
      <c r="H25" s="654"/>
      <c r="I25" s="659" t="s">
        <v>666</v>
      </c>
      <c r="J25" s="548"/>
      <c r="K25" s="548"/>
      <c r="L25" s="548"/>
      <c r="M25" s="659" t="s">
        <v>674</v>
      </c>
      <c r="N25" s="659"/>
      <c r="O25" s="464">
        <v>2</v>
      </c>
      <c r="P25" s="453"/>
      <c r="Q25" s="453"/>
      <c r="R25" s="453"/>
      <c r="S25" s="453"/>
      <c r="T25" s="453"/>
    </row>
    <row r="26" spans="1:20" s="19" customFormat="1" ht="43.5" x14ac:dyDescent="0.2">
      <c r="A26" s="486">
        <v>3</v>
      </c>
      <c r="B26" s="486"/>
      <c r="C26" s="651" t="s">
        <v>445</v>
      </c>
      <c r="D26" s="486" t="s">
        <v>145</v>
      </c>
      <c r="E26" s="530" t="s">
        <v>259</v>
      </c>
      <c r="F26" s="531">
        <v>4109000</v>
      </c>
      <c r="G26" s="488"/>
      <c r="H26" s="654"/>
      <c r="I26" s="659" t="s">
        <v>666</v>
      </c>
      <c r="J26" s="548"/>
      <c r="K26" s="548"/>
      <c r="L26" s="548"/>
      <c r="M26" s="659" t="s">
        <v>675</v>
      </c>
      <c r="N26" s="659"/>
      <c r="O26" s="464">
        <v>2</v>
      </c>
      <c r="P26" s="453"/>
      <c r="Q26" s="453"/>
      <c r="R26" s="453"/>
      <c r="S26" s="453"/>
      <c r="T26" s="453"/>
    </row>
    <row r="27" spans="1:20" s="19" customFormat="1" ht="43.5" x14ac:dyDescent="0.2">
      <c r="A27" s="486">
        <v>4</v>
      </c>
      <c r="B27" s="486"/>
      <c r="C27" s="651" t="s">
        <v>445</v>
      </c>
      <c r="D27" s="486" t="s">
        <v>145</v>
      </c>
      <c r="E27" s="530" t="s">
        <v>260</v>
      </c>
      <c r="F27" s="531">
        <v>4109000</v>
      </c>
      <c r="G27" s="488"/>
      <c r="H27" s="654"/>
      <c r="I27" s="655" t="s">
        <v>666</v>
      </c>
      <c r="J27" s="548"/>
      <c r="K27" s="548"/>
      <c r="L27" s="548"/>
      <c r="M27" s="655" t="s">
        <v>676</v>
      </c>
      <c r="N27" s="655"/>
      <c r="O27" s="464">
        <v>2</v>
      </c>
      <c r="P27" s="453"/>
      <c r="Q27" s="453"/>
      <c r="R27" s="453"/>
      <c r="S27" s="453"/>
      <c r="T27" s="453"/>
    </row>
    <row r="28" spans="1:20" s="19" customFormat="1" ht="43.5" x14ac:dyDescent="0.2">
      <c r="A28" s="486">
        <v>5</v>
      </c>
      <c r="B28" s="486"/>
      <c r="C28" s="651" t="s">
        <v>445</v>
      </c>
      <c r="D28" s="486" t="s">
        <v>145</v>
      </c>
      <c r="E28" s="530" t="s">
        <v>261</v>
      </c>
      <c r="F28" s="531">
        <v>4109000</v>
      </c>
      <c r="G28" s="488"/>
      <c r="H28" s="654"/>
      <c r="I28" s="656" t="s">
        <v>666</v>
      </c>
      <c r="J28" s="548"/>
      <c r="K28" s="548"/>
      <c r="L28" s="548"/>
      <c r="M28" s="656" t="s">
        <v>677</v>
      </c>
      <c r="N28" s="656"/>
      <c r="O28" s="464">
        <v>2</v>
      </c>
      <c r="P28" s="453"/>
      <c r="Q28" s="453"/>
      <c r="R28" s="453"/>
      <c r="S28" s="453"/>
      <c r="T28" s="453"/>
    </row>
    <row r="29" spans="1:20" s="19" customFormat="1" ht="43.5" x14ac:dyDescent="0.2">
      <c r="A29" s="486">
        <v>6</v>
      </c>
      <c r="B29" s="486"/>
      <c r="C29" s="651" t="s">
        <v>445</v>
      </c>
      <c r="D29" s="486" t="s">
        <v>145</v>
      </c>
      <c r="E29" s="530" t="s">
        <v>262</v>
      </c>
      <c r="F29" s="531">
        <v>4109000</v>
      </c>
      <c r="G29" s="488"/>
      <c r="H29" s="654"/>
      <c r="I29" s="655" t="s">
        <v>666</v>
      </c>
      <c r="J29" s="548"/>
      <c r="K29" s="548"/>
      <c r="L29" s="548"/>
      <c r="M29" s="655" t="s">
        <v>678</v>
      </c>
      <c r="N29" s="655"/>
      <c r="O29" s="464">
        <v>2</v>
      </c>
      <c r="P29" s="453"/>
      <c r="Q29" s="453"/>
      <c r="R29" s="453"/>
      <c r="S29" s="453"/>
      <c r="T29" s="453"/>
    </row>
    <row r="30" spans="1:20" s="19" customFormat="1" ht="43.5" x14ac:dyDescent="0.2">
      <c r="A30" s="486">
        <v>7</v>
      </c>
      <c r="B30" s="486"/>
      <c r="C30" s="651" t="s">
        <v>445</v>
      </c>
      <c r="D30" s="486" t="s">
        <v>145</v>
      </c>
      <c r="E30" s="530" t="s">
        <v>263</v>
      </c>
      <c r="F30" s="531">
        <v>4109000</v>
      </c>
      <c r="G30" s="488"/>
      <c r="H30" s="654"/>
      <c r="I30" s="655" t="s">
        <v>666</v>
      </c>
      <c r="J30" s="548"/>
      <c r="K30" s="548"/>
      <c r="L30" s="548"/>
      <c r="M30" s="655" t="s">
        <v>678</v>
      </c>
      <c r="N30" s="655"/>
      <c r="O30" s="464">
        <v>2</v>
      </c>
      <c r="P30" s="453"/>
      <c r="Q30" s="453"/>
      <c r="R30" s="453"/>
      <c r="S30" s="453"/>
      <c r="T30" s="453"/>
    </row>
    <row r="31" spans="1:20" s="19" customFormat="1" ht="43.5" x14ac:dyDescent="0.2">
      <c r="A31" s="275">
        <v>8</v>
      </c>
      <c r="B31" s="275"/>
      <c r="C31" s="652" t="s">
        <v>445</v>
      </c>
      <c r="D31" s="275" t="s">
        <v>145</v>
      </c>
      <c r="E31" s="518" t="s">
        <v>264</v>
      </c>
      <c r="F31" s="519">
        <v>825800</v>
      </c>
      <c r="G31" s="298"/>
      <c r="H31" s="653"/>
      <c r="I31" s="657" t="s">
        <v>666</v>
      </c>
      <c r="J31" s="548"/>
      <c r="K31" s="548"/>
      <c r="L31" s="548"/>
      <c r="M31" s="657" t="s">
        <v>679</v>
      </c>
      <c r="N31" s="657"/>
      <c r="O31" s="464">
        <v>1</v>
      </c>
      <c r="P31" s="453"/>
      <c r="Q31" s="453"/>
      <c r="R31" s="453"/>
      <c r="S31" s="453"/>
      <c r="T31" s="453"/>
    </row>
    <row r="32" spans="1:20" s="19" customFormat="1" ht="43.5" x14ac:dyDescent="0.2">
      <c r="A32" s="275">
        <v>9</v>
      </c>
      <c r="B32" s="275"/>
      <c r="C32" s="652" t="s">
        <v>445</v>
      </c>
      <c r="D32" s="275" t="s">
        <v>145</v>
      </c>
      <c r="E32" s="518" t="s">
        <v>239</v>
      </c>
      <c r="F32" s="519">
        <v>825800</v>
      </c>
      <c r="G32" s="298"/>
      <c r="H32" s="653"/>
      <c r="I32" s="657" t="s">
        <v>666</v>
      </c>
      <c r="J32" s="548"/>
      <c r="K32" s="548"/>
      <c r="L32" s="548"/>
      <c r="M32" s="657" t="s">
        <v>678</v>
      </c>
      <c r="N32" s="657"/>
      <c r="O32" s="464">
        <v>1</v>
      </c>
      <c r="P32" s="453"/>
      <c r="Q32" s="453"/>
      <c r="R32" s="453"/>
      <c r="S32" s="453"/>
      <c r="T32" s="453"/>
    </row>
    <row r="33" spans="1:20" s="19" customFormat="1" ht="43.5" x14ac:dyDescent="0.2">
      <c r="A33" s="275">
        <v>10</v>
      </c>
      <c r="B33" s="275"/>
      <c r="C33" s="652" t="s">
        <v>445</v>
      </c>
      <c r="D33" s="275" t="s">
        <v>145</v>
      </c>
      <c r="E33" s="518" t="s">
        <v>238</v>
      </c>
      <c r="F33" s="519">
        <v>825800</v>
      </c>
      <c r="G33" s="298"/>
      <c r="H33" s="653"/>
      <c r="I33" s="657" t="s">
        <v>666</v>
      </c>
      <c r="J33" s="548"/>
      <c r="K33" s="548"/>
      <c r="L33" s="548"/>
      <c r="M33" s="657" t="s">
        <v>678</v>
      </c>
      <c r="N33" s="657"/>
      <c r="O33" s="464">
        <v>1</v>
      </c>
      <c r="P33" s="453"/>
      <c r="Q33" s="453"/>
      <c r="R33" s="453"/>
      <c r="S33" s="453"/>
      <c r="T33" s="453"/>
    </row>
    <row r="34" spans="1:20" s="19" customFormat="1" ht="43.5" x14ac:dyDescent="0.2">
      <c r="A34" s="275">
        <v>11</v>
      </c>
      <c r="B34" s="275"/>
      <c r="C34" s="652" t="s">
        <v>445</v>
      </c>
      <c r="D34" s="275" t="s">
        <v>145</v>
      </c>
      <c r="E34" s="518" t="s">
        <v>240</v>
      </c>
      <c r="F34" s="519">
        <v>825800</v>
      </c>
      <c r="G34" s="298"/>
      <c r="H34" s="653"/>
      <c r="I34" s="657" t="s">
        <v>666</v>
      </c>
      <c r="J34" s="548"/>
      <c r="K34" s="548"/>
      <c r="L34" s="548"/>
      <c r="M34" s="657" t="s">
        <v>680</v>
      </c>
      <c r="N34" s="657"/>
      <c r="O34" s="464">
        <v>1</v>
      </c>
      <c r="P34" s="453"/>
      <c r="Q34" s="453"/>
      <c r="R34" s="453"/>
      <c r="S34" s="453"/>
      <c r="T34" s="453"/>
    </row>
    <row r="35" spans="1:20" s="19" customFormat="1" ht="43.5" x14ac:dyDescent="0.2">
      <c r="A35" s="275">
        <v>12</v>
      </c>
      <c r="B35" s="275"/>
      <c r="C35" s="652" t="s">
        <v>445</v>
      </c>
      <c r="D35" s="275" t="s">
        <v>145</v>
      </c>
      <c r="E35" s="518" t="s">
        <v>241</v>
      </c>
      <c r="F35" s="519">
        <v>825800</v>
      </c>
      <c r="G35" s="298"/>
      <c r="H35" s="653"/>
      <c r="I35" s="657" t="s">
        <v>666</v>
      </c>
      <c r="J35" s="548"/>
      <c r="K35" s="548"/>
      <c r="L35" s="548"/>
      <c r="M35" s="657" t="s">
        <v>678</v>
      </c>
      <c r="N35" s="657"/>
      <c r="O35" s="464">
        <v>1</v>
      </c>
      <c r="P35" s="453"/>
      <c r="Q35" s="453"/>
      <c r="R35" s="453"/>
      <c r="S35" s="453"/>
      <c r="T35" s="453"/>
    </row>
    <row r="36" spans="1:20" s="19" customFormat="1" ht="43.5" x14ac:dyDescent="0.2">
      <c r="A36" s="275">
        <v>13</v>
      </c>
      <c r="B36" s="275"/>
      <c r="C36" s="652" t="s">
        <v>445</v>
      </c>
      <c r="D36" s="275" t="s">
        <v>145</v>
      </c>
      <c r="E36" s="518" t="s">
        <v>242</v>
      </c>
      <c r="F36" s="519">
        <v>825800</v>
      </c>
      <c r="G36" s="298"/>
      <c r="H36" s="653"/>
      <c r="I36" s="657" t="s">
        <v>666</v>
      </c>
      <c r="J36" s="548"/>
      <c r="K36" s="548"/>
      <c r="L36" s="548"/>
      <c r="M36" s="657" t="s">
        <v>681</v>
      </c>
      <c r="N36" s="657"/>
      <c r="O36" s="464">
        <v>1</v>
      </c>
      <c r="P36" s="453"/>
      <c r="Q36" s="453"/>
      <c r="R36" s="453"/>
      <c r="S36" s="453"/>
      <c r="T36" s="453"/>
    </row>
    <row r="37" spans="1:20" s="19" customFormat="1" ht="43.5" x14ac:dyDescent="0.2">
      <c r="A37" s="275">
        <v>14</v>
      </c>
      <c r="B37" s="275"/>
      <c r="C37" s="652" t="s">
        <v>445</v>
      </c>
      <c r="D37" s="275" t="s">
        <v>145</v>
      </c>
      <c r="E37" s="518" t="s">
        <v>243</v>
      </c>
      <c r="F37" s="519">
        <v>943700</v>
      </c>
      <c r="G37" s="298"/>
      <c r="H37" s="653"/>
      <c r="I37" s="657" t="s">
        <v>666</v>
      </c>
      <c r="J37" s="548"/>
      <c r="K37" s="548"/>
      <c r="L37" s="548"/>
      <c r="M37" s="657" t="s">
        <v>678</v>
      </c>
      <c r="N37" s="657"/>
      <c r="O37" s="464">
        <v>1</v>
      </c>
      <c r="P37" s="453"/>
      <c r="Q37" s="453"/>
      <c r="R37" s="453"/>
      <c r="S37" s="453"/>
      <c r="T37" s="453"/>
    </row>
    <row r="38" spans="1:20" s="19" customFormat="1" ht="43.5" x14ac:dyDescent="0.2">
      <c r="A38" s="275">
        <v>15</v>
      </c>
      <c r="B38" s="275"/>
      <c r="C38" s="652" t="s">
        <v>445</v>
      </c>
      <c r="D38" s="275" t="s">
        <v>145</v>
      </c>
      <c r="E38" s="518" t="s">
        <v>244</v>
      </c>
      <c r="F38" s="519">
        <v>943700</v>
      </c>
      <c r="G38" s="298"/>
      <c r="H38" s="653"/>
      <c r="I38" s="657" t="s">
        <v>666</v>
      </c>
      <c r="J38" s="548"/>
      <c r="K38" s="548"/>
      <c r="L38" s="548"/>
      <c r="M38" s="657" t="s">
        <v>678</v>
      </c>
      <c r="N38" s="657"/>
      <c r="O38" s="464">
        <v>1</v>
      </c>
      <c r="P38" s="453"/>
      <c r="Q38" s="453"/>
      <c r="R38" s="453"/>
      <c r="S38" s="453"/>
      <c r="T38" s="453"/>
    </row>
    <row r="39" spans="1:20" s="19" customFormat="1" ht="43.5" x14ac:dyDescent="0.2">
      <c r="A39" s="275">
        <v>16</v>
      </c>
      <c r="B39" s="275"/>
      <c r="C39" s="652" t="s">
        <v>445</v>
      </c>
      <c r="D39" s="275" t="s">
        <v>145</v>
      </c>
      <c r="E39" s="518" t="s">
        <v>245</v>
      </c>
      <c r="F39" s="519">
        <v>943700</v>
      </c>
      <c r="G39" s="298"/>
      <c r="H39" s="653"/>
      <c r="I39" s="657" t="s">
        <v>666</v>
      </c>
      <c r="J39" s="548"/>
      <c r="K39" s="548"/>
      <c r="L39" s="548"/>
      <c r="M39" s="657" t="s">
        <v>678</v>
      </c>
      <c r="N39" s="657"/>
      <c r="O39" s="464">
        <v>1</v>
      </c>
      <c r="P39" s="453"/>
      <c r="Q39" s="453"/>
      <c r="R39" s="453"/>
      <c r="S39" s="453"/>
      <c r="T39" s="453"/>
    </row>
    <row r="40" spans="1:20" s="19" customFormat="1" ht="43.5" x14ac:dyDescent="0.2">
      <c r="A40" s="275">
        <v>17</v>
      </c>
      <c r="B40" s="275"/>
      <c r="C40" s="652" t="s">
        <v>445</v>
      </c>
      <c r="D40" s="275" t="s">
        <v>145</v>
      </c>
      <c r="E40" s="518" t="s">
        <v>246</v>
      </c>
      <c r="F40" s="519">
        <v>943700</v>
      </c>
      <c r="G40" s="298"/>
      <c r="H40" s="653"/>
      <c r="I40" s="657" t="s">
        <v>666</v>
      </c>
      <c r="J40" s="548"/>
      <c r="K40" s="548"/>
      <c r="L40" s="548"/>
      <c r="M40" s="657" t="s">
        <v>679</v>
      </c>
      <c r="N40" s="657"/>
      <c r="O40" s="464">
        <v>1</v>
      </c>
      <c r="P40" s="453"/>
      <c r="Q40" s="453"/>
      <c r="R40" s="453"/>
      <c r="S40" s="453"/>
      <c r="T40" s="453"/>
    </row>
    <row r="41" spans="1:20" s="19" customFormat="1" ht="43.5" x14ac:dyDescent="0.2">
      <c r="A41" s="275">
        <v>18</v>
      </c>
      <c r="B41" s="275"/>
      <c r="C41" s="652" t="s">
        <v>445</v>
      </c>
      <c r="D41" s="275" t="s">
        <v>145</v>
      </c>
      <c r="E41" s="518" t="s">
        <v>247</v>
      </c>
      <c r="F41" s="519">
        <v>943700</v>
      </c>
      <c r="G41" s="298"/>
      <c r="H41" s="653"/>
      <c r="I41" s="657" t="s">
        <v>666</v>
      </c>
      <c r="J41" s="548"/>
      <c r="K41" s="548"/>
      <c r="L41" s="548"/>
      <c r="M41" s="657" t="s">
        <v>681</v>
      </c>
      <c r="N41" s="657"/>
      <c r="O41" s="464">
        <v>1</v>
      </c>
      <c r="P41" s="453"/>
      <c r="Q41" s="453"/>
      <c r="R41" s="453"/>
      <c r="S41" s="453"/>
      <c r="T41" s="453"/>
    </row>
    <row r="42" spans="1:20" s="19" customFormat="1" ht="43.5" x14ac:dyDescent="0.2">
      <c r="A42" s="486">
        <v>19</v>
      </c>
      <c r="B42" s="486"/>
      <c r="C42" s="651" t="s">
        <v>445</v>
      </c>
      <c r="D42" s="486" t="s">
        <v>145</v>
      </c>
      <c r="E42" s="530" t="s">
        <v>256</v>
      </c>
      <c r="F42" s="531">
        <v>21331100</v>
      </c>
      <c r="G42" s="488"/>
      <c r="H42" s="654"/>
      <c r="I42" s="659" t="s">
        <v>682</v>
      </c>
      <c r="J42" s="548"/>
      <c r="K42" s="548"/>
      <c r="L42" s="548"/>
      <c r="M42" s="659" t="s">
        <v>683</v>
      </c>
      <c r="N42" s="659"/>
      <c r="O42" s="464">
        <v>2</v>
      </c>
      <c r="P42" s="453"/>
      <c r="Q42" s="453"/>
      <c r="R42" s="453"/>
      <c r="S42" s="453"/>
      <c r="T42" s="453"/>
    </row>
    <row r="43" spans="1:20" s="19" customFormat="1" ht="65.25" x14ac:dyDescent="0.2">
      <c r="A43" s="486">
        <v>20</v>
      </c>
      <c r="B43" s="486"/>
      <c r="C43" s="651" t="s">
        <v>445</v>
      </c>
      <c r="D43" s="486" t="s">
        <v>145</v>
      </c>
      <c r="E43" s="530" t="s">
        <v>237</v>
      </c>
      <c r="F43" s="531">
        <v>20000000</v>
      </c>
      <c r="G43" s="488"/>
      <c r="H43" s="654"/>
      <c r="I43" s="659" t="s">
        <v>684</v>
      </c>
      <c r="J43" s="548"/>
      <c r="K43" s="548"/>
      <c r="L43" s="548"/>
      <c r="M43" s="659" t="s">
        <v>685</v>
      </c>
      <c r="N43" s="659"/>
      <c r="O43" s="464">
        <v>2</v>
      </c>
      <c r="P43" s="453"/>
      <c r="Q43" s="453"/>
      <c r="R43" s="453"/>
      <c r="S43" s="453"/>
      <c r="T43" s="453"/>
    </row>
    <row r="44" spans="1:20" s="19" customFormat="1" ht="43.5" x14ac:dyDescent="0.2">
      <c r="A44" s="486">
        <v>21</v>
      </c>
      <c r="B44" s="486"/>
      <c r="C44" s="651" t="s">
        <v>445</v>
      </c>
      <c r="D44" s="486" t="s">
        <v>145</v>
      </c>
      <c r="E44" s="601" t="s">
        <v>251</v>
      </c>
      <c r="F44" s="531">
        <v>10518100</v>
      </c>
      <c r="G44" s="488"/>
      <c r="H44" s="654"/>
      <c r="I44" s="554" t="s">
        <v>686</v>
      </c>
      <c r="J44" s="548"/>
      <c r="K44" s="548"/>
      <c r="L44" s="548"/>
      <c r="M44" s="554" t="s">
        <v>687</v>
      </c>
      <c r="N44" s="554"/>
      <c r="O44" s="464">
        <v>2</v>
      </c>
      <c r="P44" s="453"/>
      <c r="Q44" s="453"/>
      <c r="R44" s="453"/>
      <c r="S44" s="453"/>
      <c r="T44" s="453"/>
    </row>
    <row r="45" spans="1:20" s="19" customFormat="1" ht="43.5" x14ac:dyDescent="0.2">
      <c r="A45" s="486">
        <v>22</v>
      </c>
      <c r="B45" s="486"/>
      <c r="C45" s="651" t="s">
        <v>445</v>
      </c>
      <c r="D45" s="486" t="s">
        <v>145</v>
      </c>
      <c r="E45" s="601" t="s">
        <v>252</v>
      </c>
      <c r="F45" s="531">
        <v>10518100</v>
      </c>
      <c r="G45" s="488"/>
      <c r="H45" s="654"/>
      <c r="I45" s="659" t="s">
        <v>666</v>
      </c>
      <c r="J45" s="548"/>
      <c r="K45" s="548"/>
      <c r="L45" s="548"/>
      <c r="M45" s="659" t="s">
        <v>678</v>
      </c>
      <c r="N45" s="659"/>
      <c r="O45" s="464">
        <v>2</v>
      </c>
      <c r="P45" s="453"/>
      <c r="Q45" s="453"/>
      <c r="R45" s="453"/>
      <c r="S45" s="453"/>
      <c r="T45" s="453"/>
    </row>
    <row r="46" spans="1:20" s="19" customFormat="1" ht="43.5" x14ac:dyDescent="0.2">
      <c r="A46" s="275">
        <v>23</v>
      </c>
      <c r="B46" s="275"/>
      <c r="C46" s="652" t="s">
        <v>445</v>
      </c>
      <c r="D46" s="275" t="s">
        <v>145</v>
      </c>
      <c r="E46" s="611" t="s">
        <v>248</v>
      </c>
      <c r="F46" s="519">
        <v>1600000</v>
      </c>
      <c r="G46" s="298"/>
      <c r="H46" s="653"/>
      <c r="I46" s="658" t="s">
        <v>688</v>
      </c>
      <c r="J46" s="548"/>
      <c r="K46" s="548"/>
      <c r="L46" s="548"/>
      <c r="M46" s="658" t="s">
        <v>688</v>
      </c>
      <c r="N46" s="658"/>
      <c r="O46" s="464">
        <v>1</v>
      </c>
      <c r="P46" s="453"/>
      <c r="Q46" s="453"/>
      <c r="R46" s="453"/>
      <c r="S46" s="453"/>
      <c r="T46" s="453"/>
    </row>
    <row r="47" spans="1:20" s="19" customFormat="1" ht="43.5" x14ac:dyDescent="0.2">
      <c r="A47" s="275">
        <v>24</v>
      </c>
      <c r="B47" s="275"/>
      <c r="C47" s="652" t="s">
        <v>445</v>
      </c>
      <c r="D47" s="275" t="s">
        <v>145</v>
      </c>
      <c r="E47" s="611" t="s">
        <v>249</v>
      </c>
      <c r="F47" s="519">
        <v>1600000</v>
      </c>
      <c r="G47" s="298"/>
      <c r="H47" s="653"/>
      <c r="I47" s="658" t="s">
        <v>689</v>
      </c>
      <c r="J47" s="548"/>
      <c r="K47" s="548"/>
      <c r="L47" s="548"/>
      <c r="M47" s="658" t="s">
        <v>689</v>
      </c>
      <c r="N47" s="658"/>
      <c r="O47" s="464">
        <v>1</v>
      </c>
      <c r="P47" s="453"/>
      <c r="Q47" s="453"/>
      <c r="R47" s="453"/>
      <c r="S47" s="453"/>
      <c r="T47" s="453"/>
    </row>
    <row r="48" spans="1:20" s="19" customFormat="1" ht="43.5" x14ac:dyDescent="0.2">
      <c r="A48" s="275">
        <v>25</v>
      </c>
      <c r="B48" s="275"/>
      <c r="C48" s="652" t="s">
        <v>445</v>
      </c>
      <c r="D48" s="275" t="s">
        <v>145</v>
      </c>
      <c r="E48" s="611" t="s">
        <v>250</v>
      </c>
      <c r="F48" s="519">
        <v>1600000</v>
      </c>
      <c r="G48" s="298"/>
      <c r="H48" s="653"/>
      <c r="I48" s="658" t="s">
        <v>690</v>
      </c>
      <c r="J48" s="548"/>
      <c r="K48" s="548"/>
      <c r="L48" s="548"/>
      <c r="M48" s="658" t="s">
        <v>691</v>
      </c>
      <c r="N48" s="658"/>
      <c r="O48" s="464">
        <v>1</v>
      </c>
      <c r="P48" s="453"/>
      <c r="Q48" s="453"/>
      <c r="R48" s="453"/>
      <c r="S48" s="453"/>
      <c r="T48" s="453"/>
    </row>
    <row r="49" spans="1:47" s="19" customFormat="1" ht="65.25" x14ac:dyDescent="0.2">
      <c r="A49" s="275">
        <v>26</v>
      </c>
      <c r="B49" s="275"/>
      <c r="C49" s="652" t="s">
        <v>445</v>
      </c>
      <c r="D49" s="275" t="s">
        <v>145</v>
      </c>
      <c r="E49" s="611" t="s">
        <v>253</v>
      </c>
      <c r="F49" s="519">
        <v>1500000</v>
      </c>
      <c r="G49" s="298"/>
      <c r="H49" s="653"/>
      <c r="I49" s="658" t="s">
        <v>666</v>
      </c>
      <c r="J49" s="548"/>
      <c r="K49" s="548"/>
      <c r="L49" s="548"/>
      <c r="M49" s="658" t="s">
        <v>692</v>
      </c>
      <c r="N49" s="658"/>
      <c r="O49" s="464">
        <v>1</v>
      </c>
      <c r="P49" s="453"/>
      <c r="Q49" s="453"/>
      <c r="R49" s="453"/>
      <c r="S49" s="453"/>
      <c r="T49" s="453"/>
    </row>
    <row r="50" spans="1:47" s="19" customFormat="1" ht="43.5" x14ac:dyDescent="0.2">
      <c r="A50" s="275">
        <v>27</v>
      </c>
      <c r="B50" s="275"/>
      <c r="C50" s="652" t="s">
        <v>445</v>
      </c>
      <c r="D50" s="275" t="s">
        <v>145</v>
      </c>
      <c r="E50" s="611" t="s">
        <v>254</v>
      </c>
      <c r="F50" s="519">
        <v>539000</v>
      </c>
      <c r="G50" s="298"/>
      <c r="H50" s="653"/>
      <c r="I50" s="658" t="s">
        <v>693</v>
      </c>
      <c r="J50" s="548"/>
      <c r="K50" s="548"/>
      <c r="L50" s="548"/>
      <c r="M50" s="658" t="s">
        <v>694</v>
      </c>
      <c r="N50" s="658"/>
      <c r="O50" s="464">
        <v>1</v>
      </c>
      <c r="P50" s="453"/>
      <c r="Q50" s="453"/>
      <c r="R50" s="453"/>
      <c r="S50" s="453"/>
      <c r="T50" s="453"/>
    </row>
    <row r="51" spans="1:47" s="19" customFormat="1" ht="43.5" x14ac:dyDescent="0.2">
      <c r="A51" s="486">
        <v>28</v>
      </c>
      <c r="B51" s="486"/>
      <c r="C51" s="651" t="s">
        <v>445</v>
      </c>
      <c r="D51" s="486" t="s">
        <v>145</v>
      </c>
      <c r="E51" s="530" t="s">
        <v>255</v>
      </c>
      <c r="F51" s="531">
        <v>2328000</v>
      </c>
      <c r="G51" s="488"/>
      <c r="H51" s="654"/>
      <c r="I51" s="554" t="s">
        <v>695</v>
      </c>
      <c r="J51" s="548"/>
      <c r="K51" s="548"/>
      <c r="L51" s="548"/>
      <c r="M51" s="554" t="s">
        <v>696</v>
      </c>
      <c r="N51" s="554"/>
      <c r="O51" s="464">
        <v>2</v>
      </c>
      <c r="P51" s="453"/>
      <c r="Q51" s="453"/>
      <c r="R51" s="453"/>
      <c r="S51" s="453"/>
      <c r="T51" s="453"/>
    </row>
    <row r="52" spans="1:47" s="302" customFormat="1" ht="65.25" x14ac:dyDescent="0.2">
      <c r="A52" s="486">
        <v>29</v>
      </c>
      <c r="B52" s="486"/>
      <c r="C52" s="631" t="s">
        <v>360</v>
      </c>
      <c r="D52" s="486" t="s">
        <v>145</v>
      </c>
      <c r="E52" s="601" t="s">
        <v>533</v>
      </c>
      <c r="F52" s="602">
        <v>59373200</v>
      </c>
      <c r="G52" s="488"/>
      <c r="H52" s="654"/>
      <c r="I52" s="655" t="s">
        <v>697</v>
      </c>
      <c r="J52" s="655" t="s">
        <v>697</v>
      </c>
      <c r="K52" s="655" t="s">
        <v>697</v>
      </c>
      <c r="L52" s="655" t="s">
        <v>697</v>
      </c>
      <c r="M52" s="655" t="s">
        <v>697</v>
      </c>
      <c r="N52" s="655"/>
      <c r="O52" s="469">
        <v>2</v>
      </c>
      <c r="P52" s="454"/>
      <c r="Q52" s="454"/>
      <c r="R52" s="454"/>
      <c r="S52" s="454"/>
      <c r="T52" s="454"/>
    </row>
    <row r="53" spans="1:47" s="9" customFormat="1" x14ac:dyDescent="0.2">
      <c r="A53" s="6"/>
      <c r="B53" s="6"/>
      <c r="C53" s="6"/>
      <c r="D53" s="6"/>
      <c r="E53" s="7"/>
      <c r="F53" s="335"/>
      <c r="G53" s="11"/>
      <c r="H53" s="11"/>
      <c r="I53" s="11"/>
      <c r="J53" s="11"/>
      <c r="K53" s="10"/>
      <c r="L53" s="10"/>
      <c r="M53" s="11"/>
      <c r="N53" s="11"/>
      <c r="O53" s="445"/>
      <c r="P53" s="437"/>
      <c r="Q53" s="437"/>
      <c r="R53" s="437"/>
      <c r="S53" s="437"/>
      <c r="T53" s="437"/>
    </row>
    <row r="54" spans="1:47" s="19" customFormat="1" ht="22.5" thickBot="1" x14ac:dyDescent="0.55000000000000004">
      <c r="A54" s="244">
        <f>+A52</f>
        <v>29</v>
      </c>
      <c r="B54" s="244"/>
      <c r="C54" s="244"/>
      <c r="D54" s="244"/>
      <c r="E54" s="245" t="s">
        <v>33</v>
      </c>
      <c r="F54" s="330">
        <f>SUM(F24:F53)</f>
        <v>169343800</v>
      </c>
      <c r="G54" s="246">
        <f>SUM(G24:G53)</f>
        <v>0</v>
      </c>
      <c r="H54" s="246">
        <f>SUM(H24:H53)</f>
        <v>0</v>
      </c>
      <c r="I54" s="246"/>
      <c r="J54" s="246">
        <f>SUM(J24:J53)</f>
        <v>0</v>
      </c>
      <c r="K54" s="246">
        <f>SUM(K24:K53)</f>
        <v>0</v>
      </c>
      <c r="L54" s="246">
        <f>SUM(L24:L53)</f>
        <v>0</v>
      </c>
      <c r="M54" s="246"/>
      <c r="N54" s="246"/>
      <c r="O54" s="443"/>
      <c r="P54" s="455">
        <f>+F54+G54</f>
        <v>169343800</v>
      </c>
      <c r="Q54" s="451"/>
      <c r="R54" s="451"/>
      <c r="S54" s="453"/>
      <c r="T54" s="453"/>
    </row>
    <row r="55" spans="1:47" s="28" customFormat="1" ht="22.5" thickBot="1" x14ac:dyDescent="0.55000000000000004">
      <c r="A55" s="247">
        <f>+A22+A54</f>
        <v>39</v>
      </c>
      <c r="B55" s="248"/>
      <c r="C55" s="248"/>
      <c r="D55" s="248"/>
      <c r="E55" s="248" t="s">
        <v>186</v>
      </c>
      <c r="F55" s="331">
        <f>F22+F54</f>
        <v>229120800</v>
      </c>
      <c r="G55" s="310">
        <f>+G22+G54</f>
        <v>0</v>
      </c>
      <c r="H55" s="310">
        <f>+H22+H54</f>
        <v>0</v>
      </c>
      <c r="I55" s="249"/>
      <c r="J55" s="249">
        <f>J22+J54</f>
        <v>0</v>
      </c>
      <c r="K55" s="249">
        <f>K22+K54</f>
        <v>0</v>
      </c>
      <c r="L55" s="249">
        <f>L22+L54</f>
        <v>0</v>
      </c>
      <c r="M55" s="249"/>
      <c r="N55" s="249"/>
      <c r="O55" s="456"/>
      <c r="P55" s="436">
        <f>+P22+P54</f>
        <v>229120800</v>
      </c>
      <c r="Q55" s="457"/>
      <c r="R55" s="457"/>
      <c r="S55" s="434"/>
      <c r="T55" s="434"/>
      <c r="U55" s="2"/>
      <c r="V55" s="2"/>
      <c r="W55" s="2"/>
      <c r="X55" s="2"/>
      <c r="Y55" s="2"/>
      <c r="Z55" s="2"/>
      <c r="AA55" s="2"/>
      <c r="AB55" s="2"/>
    </row>
    <row r="56" spans="1:47" s="9" customFormat="1" x14ac:dyDescent="0.2">
      <c r="A56" s="15"/>
      <c r="B56" s="15"/>
      <c r="C56" s="15"/>
      <c r="D56" s="15"/>
      <c r="E56" s="31"/>
      <c r="F56" s="21"/>
      <c r="G56" s="20"/>
      <c r="H56" s="20"/>
      <c r="I56" s="20"/>
      <c r="J56" s="20"/>
      <c r="K56" s="104"/>
      <c r="L56" s="104"/>
      <c r="M56" s="20"/>
      <c r="N56" s="20"/>
      <c r="O56" s="445"/>
      <c r="P56" s="437"/>
      <c r="Q56" s="437"/>
      <c r="R56" s="437"/>
      <c r="S56" s="437"/>
      <c r="T56" s="437"/>
    </row>
    <row r="57" spans="1:47" s="9" customFormat="1" x14ac:dyDescent="0.5">
      <c r="A57" s="15"/>
      <c r="B57" s="15"/>
      <c r="C57" s="15"/>
      <c r="D57" s="15"/>
      <c r="E57" s="31"/>
      <c r="F57" s="35"/>
      <c r="G57" s="20"/>
      <c r="H57" s="20"/>
      <c r="I57" s="20"/>
      <c r="J57" s="20"/>
      <c r="K57" s="104"/>
      <c r="L57" s="104"/>
      <c r="M57" s="20"/>
      <c r="N57" s="20"/>
      <c r="O57" s="445"/>
      <c r="P57" s="437"/>
      <c r="Q57" s="437"/>
      <c r="R57" s="437"/>
      <c r="S57" s="437"/>
      <c r="T57" s="437"/>
    </row>
    <row r="59" spans="1:47" s="23" customFormat="1" x14ac:dyDescent="0.5">
      <c r="A59" s="22"/>
      <c r="B59" s="22"/>
      <c r="C59" s="22"/>
      <c r="D59" s="22"/>
      <c r="E59" s="81"/>
      <c r="F59" s="286"/>
      <c r="G59" s="125"/>
      <c r="H59" s="125"/>
      <c r="I59" s="125"/>
      <c r="J59" s="125"/>
      <c r="K59" s="190"/>
      <c r="L59" s="190"/>
      <c r="M59" s="125"/>
      <c r="N59" s="125"/>
      <c r="O59" s="441"/>
      <c r="P59" s="434"/>
      <c r="Q59" s="434"/>
      <c r="R59" s="434"/>
      <c r="S59" s="434"/>
      <c r="T59" s="43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</row>
    <row r="60" spans="1:47" s="23" customFormat="1" x14ac:dyDescent="0.5">
      <c r="A60" s="22"/>
      <c r="B60" s="22"/>
      <c r="C60" s="22"/>
      <c r="D60" s="22"/>
      <c r="F60" s="25"/>
      <c r="G60" s="107"/>
      <c r="H60" s="107"/>
      <c r="I60" s="107"/>
      <c r="J60" s="107"/>
      <c r="K60" s="190"/>
      <c r="L60" s="190"/>
      <c r="M60" s="107"/>
      <c r="N60" s="107"/>
      <c r="O60" s="441"/>
      <c r="P60" s="434"/>
      <c r="Q60" s="434"/>
      <c r="R60" s="434"/>
      <c r="S60" s="434"/>
      <c r="T60" s="43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</row>
    <row r="61" spans="1:47" s="23" customFormat="1" x14ac:dyDescent="0.5">
      <c r="A61" s="22"/>
      <c r="B61" s="22"/>
      <c r="C61" s="22"/>
      <c r="D61" s="22"/>
      <c r="F61" s="25"/>
      <c r="G61" s="107"/>
      <c r="H61" s="107"/>
      <c r="I61" s="107"/>
      <c r="J61" s="107"/>
      <c r="K61" s="190"/>
      <c r="L61" s="190"/>
      <c r="M61" s="107"/>
      <c r="N61" s="107"/>
      <c r="O61" s="441"/>
      <c r="P61" s="434"/>
      <c r="Q61" s="434"/>
      <c r="R61" s="434"/>
      <c r="S61" s="434"/>
      <c r="T61" s="43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</row>
    <row r="62" spans="1:47" s="23" customFormat="1" x14ac:dyDescent="0.5">
      <c r="A62" s="22"/>
      <c r="B62" s="22"/>
      <c r="C62" s="22"/>
      <c r="D62" s="22"/>
      <c r="F62" s="25"/>
      <c r="G62" s="107"/>
      <c r="H62" s="107"/>
      <c r="I62" s="107"/>
      <c r="J62" s="107"/>
      <c r="K62" s="190"/>
      <c r="L62" s="190"/>
      <c r="M62" s="107"/>
      <c r="N62" s="107"/>
      <c r="O62" s="441"/>
      <c r="P62" s="434"/>
      <c r="Q62" s="434"/>
      <c r="R62" s="434"/>
      <c r="S62" s="434"/>
      <c r="T62" s="43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</row>
  </sheetData>
  <autoFilter ref="O1:O62"/>
  <mergeCells count="21">
    <mergeCell ref="R5:R8"/>
    <mergeCell ref="K5:K8"/>
    <mergeCell ref="A5:A8"/>
    <mergeCell ref="F6:F8"/>
    <mergeCell ref="B5:B8"/>
    <mergeCell ref="E5:E8"/>
    <mergeCell ref="D5:D8"/>
    <mergeCell ref="C5:C8"/>
    <mergeCell ref="L5:L8"/>
    <mergeCell ref="G6:G8"/>
    <mergeCell ref="J5:J8"/>
    <mergeCell ref="I5:I8"/>
    <mergeCell ref="F5:H5"/>
    <mergeCell ref="H6:H8"/>
    <mergeCell ref="N5:N8"/>
    <mergeCell ref="M5:M8"/>
    <mergeCell ref="Q5:Q8"/>
    <mergeCell ref="F4:G4"/>
    <mergeCell ref="A1:N1"/>
    <mergeCell ref="A2:N2"/>
    <mergeCell ref="A3:N3"/>
  </mergeCells>
  <phoneticPr fontId="2" type="noConversion"/>
  <conditionalFormatting sqref="F11:F20 F24:F41 F46:F52">
    <cfRule type="cellIs" dxfId="50" priority="7" stopIfTrue="1" operator="between">
      <formula>2000001</formula>
      <formula>500000000</formula>
    </cfRule>
  </conditionalFormatting>
  <conditionalFormatting sqref="F42">
    <cfRule type="cellIs" dxfId="49" priority="3" stopIfTrue="1" operator="between">
      <formula>2000001</formula>
      <formula>500000000</formula>
    </cfRule>
  </conditionalFormatting>
  <conditionalFormatting sqref="F43">
    <cfRule type="cellIs" dxfId="48" priority="2" stopIfTrue="1" operator="between">
      <formula>2000001</formula>
      <formula>500000000</formula>
    </cfRule>
  </conditionalFormatting>
  <conditionalFormatting sqref="F44:F45">
    <cfRule type="cellIs" dxfId="47" priority="1" stopIfTrue="1" operator="between">
      <formula>2000001</formula>
      <formula>500000000</formula>
    </cfRule>
  </conditionalFormatting>
  <pageMargins left="0.74803149606299213" right="0.74803149606299213" top="0.34" bottom="0.16" header="0.18" footer="0.51181102362204722"/>
  <pageSetup paperSize="9" scale="90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25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7" width="15.42578125" style="106" customWidth="1"/>
    <col min="8" max="8" width="15.42578125" style="106" hidden="1" customWidth="1"/>
    <col min="9" max="9" width="30.28515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28515625" style="106" customWidth="1"/>
    <col min="15" max="15" width="4.5703125" style="441" customWidth="1"/>
    <col min="16" max="16" width="19.5703125" style="434" bestFit="1" customWidth="1"/>
    <col min="17" max="19" width="9.140625" style="434"/>
    <col min="20" max="20" width="12.42578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0"/>
      <c r="P2" s="435" t="s">
        <v>522</v>
      </c>
      <c r="Q2" s="434" t="s">
        <v>209</v>
      </c>
      <c r="R2" s="436" t="s">
        <v>209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0"/>
      <c r="P3" s="437" t="s">
        <v>523</v>
      </c>
      <c r="Q3" s="438" t="s">
        <v>209</v>
      </c>
      <c r="R3" s="439" t="s">
        <v>209</v>
      </c>
      <c r="S3" s="440">
        <v>1</v>
      </c>
      <c r="T3" s="439">
        <f>+F11</f>
        <v>3300000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x14ac:dyDescent="0.5">
      <c r="A9" s="12"/>
      <c r="B9" s="12"/>
      <c r="C9" s="12"/>
      <c r="D9" s="12"/>
      <c r="E9" s="32" t="s">
        <v>153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9" customFormat="1" ht="65.25" x14ac:dyDescent="0.2">
      <c r="A11" s="486">
        <v>1</v>
      </c>
      <c r="B11" s="486"/>
      <c r="C11" s="486" t="s">
        <v>206</v>
      </c>
      <c r="D11" s="486" t="s">
        <v>153</v>
      </c>
      <c r="E11" s="530" t="s">
        <v>458</v>
      </c>
      <c r="F11" s="531">
        <v>3300000</v>
      </c>
      <c r="G11" s="488"/>
      <c r="H11" s="488"/>
      <c r="I11" s="554" t="s">
        <v>698</v>
      </c>
      <c r="J11" s="546"/>
      <c r="K11" s="547"/>
      <c r="L11" s="547"/>
      <c r="M11" s="554" t="s">
        <v>699</v>
      </c>
      <c r="N11" s="554"/>
      <c r="O11" s="445">
        <v>2</v>
      </c>
      <c r="P11" s="437"/>
      <c r="Q11" s="437"/>
      <c r="R11" s="437"/>
      <c r="S11" s="437"/>
      <c r="T11" s="437"/>
    </row>
    <row r="12" spans="1:39" s="9" customFormat="1" x14ac:dyDescent="0.2">
      <c r="A12" s="6"/>
      <c r="B12" s="13"/>
      <c r="C12" s="13"/>
      <c r="D12" s="13"/>
      <c r="E12" s="332"/>
      <c r="F12" s="334"/>
      <c r="G12" s="11"/>
      <c r="H12" s="11"/>
      <c r="I12" s="11"/>
      <c r="J12" s="11"/>
      <c r="K12" s="10"/>
      <c r="L12" s="10"/>
      <c r="M12" s="11"/>
      <c r="N12" s="11"/>
      <c r="O12" s="445"/>
      <c r="P12" s="437"/>
      <c r="Q12" s="437"/>
      <c r="R12" s="437"/>
      <c r="S12" s="437"/>
      <c r="T12" s="437"/>
    </row>
    <row r="13" spans="1:39" s="14" customFormat="1" ht="22.5" thickBot="1" x14ac:dyDescent="0.55000000000000004">
      <c r="A13" s="241">
        <f>+A11</f>
        <v>1</v>
      </c>
      <c r="B13" s="241"/>
      <c r="C13" s="241"/>
      <c r="D13" s="241"/>
      <c r="E13" s="242" t="s">
        <v>47</v>
      </c>
      <c r="F13" s="329">
        <f>SUM(F11:F12)</f>
        <v>3300000</v>
      </c>
      <c r="G13" s="243">
        <f>SUM(G12:G12)</f>
        <v>0</v>
      </c>
      <c r="H13" s="243">
        <f>SUM(H12:H12)</f>
        <v>0</v>
      </c>
      <c r="I13" s="243"/>
      <c r="J13" s="243">
        <f>SUM(J12:J12)</f>
        <v>0</v>
      </c>
      <c r="K13" s="243">
        <f>SUM(K12:K12)</f>
        <v>0</v>
      </c>
      <c r="L13" s="243">
        <f>SUM(L12:L12)</f>
        <v>0</v>
      </c>
      <c r="M13" s="243"/>
      <c r="N13" s="243"/>
      <c r="O13" s="463"/>
      <c r="P13" s="450">
        <f>+F13+G13</f>
        <v>3300000</v>
      </c>
      <c r="Q13" s="451"/>
      <c r="R13" s="451"/>
      <c r="S13" s="452"/>
      <c r="T13" s="452"/>
    </row>
    <row r="14" spans="1:39" s="19" customFormat="1" ht="22.5" hidden="1" thickBot="1" x14ac:dyDescent="0.25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34"/>
      <c r="N14" s="34"/>
      <c r="O14" s="464"/>
      <c r="P14" s="453"/>
      <c r="Q14" s="453"/>
      <c r="R14" s="453"/>
      <c r="S14" s="453"/>
      <c r="T14" s="453"/>
    </row>
    <row r="15" spans="1:39" s="19" customFormat="1" ht="22.5" hidden="1" thickBot="1" x14ac:dyDescent="0.25">
      <c r="A15" s="17"/>
      <c r="B15" s="17"/>
      <c r="C15" s="17"/>
      <c r="D15" s="17"/>
      <c r="E15" s="30"/>
      <c r="F15" s="336"/>
      <c r="G15" s="34"/>
      <c r="H15" s="34"/>
      <c r="I15" s="34"/>
      <c r="J15" s="34"/>
      <c r="K15" s="18"/>
      <c r="L15" s="18"/>
      <c r="M15" s="34"/>
      <c r="N15" s="34"/>
      <c r="O15" s="464"/>
      <c r="P15" s="453"/>
      <c r="Q15" s="453"/>
      <c r="R15" s="453"/>
      <c r="S15" s="453"/>
      <c r="T15" s="453"/>
    </row>
    <row r="16" spans="1:39" s="9" customFormat="1" ht="22.5" hidden="1" thickBot="1" x14ac:dyDescent="0.25">
      <c r="A16" s="6"/>
      <c r="B16" s="6"/>
      <c r="C16" s="6"/>
      <c r="D16" s="6"/>
      <c r="E16" s="7"/>
      <c r="F16" s="335"/>
      <c r="G16" s="11"/>
      <c r="H16" s="11"/>
      <c r="I16" s="11"/>
      <c r="J16" s="11"/>
      <c r="K16" s="10"/>
      <c r="L16" s="10"/>
      <c r="M16" s="11"/>
      <c r="N16" s="11"/>
      <c r="O16" s="445"/>
      <c r="P16" s="437"/>
      <c r="Q16" s="437"/>
      <c r="R16" s="437"/>
      <c r="S16" s="437"/>
      <c r="T16" s="437"/>
    </row>
    <row r="17" spans="1:47" s="19" customFormat="1" ht="22.5" hidden="1" thickBot="1" x14ac:dyDescent="0.55000000000000004">
      <c r="A17" s="244"/>
      <c r="B17" s="244"/>
      <c r="C17" s="244"/>
      <c r="D17" s="244"/>
      <c r="E17" s="245" t="s">
        <v>33</v>
      </c>
      <c r="F17" s="330">
        <f>SUM(F15:F16)</f>
        <v>0</v>
      </c>
      <c r="G17" s="246">
        <f>SUM(G15:G16)</f>
        <v>0</v>
      </c>
      <c r="H17" s="246">
        <f>SUM(H15:H16)</f>
        <v>0</v>
      </c>
      <c r="I17" s="246"/>
      <c r="J17" s="246">
        <f>SUM(J15:J16)</f>
        <v>0</v>
      </c>
      <c r="K17" s="246">
        <f>SUM(K15:K16)</f>
        <v>0</v>
      </c>
      <c r="L17" s="246">
        <f>SUM(L15:L16)</f>
        <v>0</v>
      </c>
      <c r="M17" s="246"/>
      <c r="N17" s="246"/>
      <c r="O17" s="462"/>
      <c r="P17" s="455">
        <f>+F17+G17</f>
        <v>0</v>
      </c>
      <c r="Q17" s="451"/>
      <c r="R17" s="451"/>
      <c r="S17" s="453"/>
      <c r="T17" s="453"/>
    </row>
    <row r="18" spans="1:47" s="28" customFormat="1" ht="22.5" thickBot="1" x14ac:dyDescent="0.55000000000000004">
      <c r="A18" s="247">
        <f>+A13+A17</f>
        <v>1</v>
      </c>
      <c r="B18" s="248"/>
      <c r="C18" s="248"/>
      <c r="D18" s="248"/>
      <c r="E18" s="248" t="s">
        <v>196</v>
      </c>
      <c r="F18" s="331">
        <f>F13+F17</f>
        <v>3300000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465"/>
      <c r="P18" s="436">
        <f>+P13+P17</f>
        <v>3300000</v>
      </c>
      <c r="Q18" s="457"/>
      <c r="R18" s="457"/>
      <c r="S18" s="434"/>
      <c r="T18" s="434"/>
      <c r="U18" s="2"/>
      <c r="V18" s="2"/>
      <c r="W18" s="2"/>
      <c r="X18" s="2"/>
      <c r="Y18" s="2"/>
      <c r="Z18" s="2"/>
      <c r="AA18" s="2"/>
      <c r="AB18" s="2"/>
    </row>
    <row r="19" spans="1:47" s="9" customFormat="1" x14ac:dyDescent="0.2">
      <c r="A19" s="15"/>
      <c r="B19" s="15"/>
      <c r="C19" s="15"/>
      <c r="D19" s="15"/>
      <c r="E19" s="31"/>
      <c r="F19" s="21"/>
      <c r="G19" s="20"/>
      <c r="H19" s="20"/>
      <c r="I19" s="20"/>
      <c r="J19" s="20"/>
      <c r="K19" s="104"/>
      <c r="L19" s="104"/>
      <c r="M19" s="20"/>
      <c r="N19" s="20"/>
      <c r="O19" s="445"/>
      <c r="P19" s="437"/>
      <c r="Q19" s="437"/>
      <c r="R19" s="437"/>
      <c r="S19" s="437"/>
      <c r="T19" s="437"/>
    </row>
    <row r="20" spans="1:47" s="9" customFormat="1" x14ac:dyDescent="0.5">
      <c r="A20" s="15"/>
      <c r="B20" s="15"/>
      <c r="C20" s="15"/>
      <c r="D20" s="15"/>
      <c r="E20" s="31"/>
      <c r="F20" s="35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2" spans="1:47" s="23" customFormat="1" ht="22.5" thickBot="1" x14ac:dyDescent="0.55000000000000004">
      <c r="A22" s="22"/>
      <c r="B22" s="22"/>
      <c r="C22" s="22"/>
      <c r="D22" s="22"/>
      <c r="E22" s="81" t="s">
        <v>99</v>
      </c>
      <c r="F22" s="82"/>
      <c r="G22" s="238"/>
      <c r="H22" s="125"/>
      <c r="I22" s="125"/>
      <c r="J22" s="125"/>
      <c r="K22" s="190"/>
      <c r="L22" s="190"/>
      <c r="M22" s="125"/>
      <c r="N22" s="125"/>
      <c r="O22" s="441"/>
      <c r="P22" s="434"/>
      <c r="Q22" s="434"/>
      <c r="R22" s="434"/>
      <c r="S22" s="434"/>
      <c r="T22" s="43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</row>
    <row r="23" spans="1:47" s="23" customFormat="1" ht="22.5" thickTop="1" x14ac:dyDescent="0.5">
      <c r="A23" s="22"/>
      <c r="B23" s="22"/>
      <c r="C23" s="22"/>
      <c r="D23" s="22"/>
      <c r="E23" s="23" t="s">
        <v>25</v>
      </c>
      <c r="F23" s="25"/>
      <c r="G23" s="107"/>
      <c r="H23" s="107"/>
      <c r="I23" s="107"/>
      <c r="J23" s="107"/>
      <c r="K23" s="190"/>
      <c r="L23" s="190"/>
      <c r="M23" s="107"/>
      <c r="N23" s="107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E24" s="23" t="s">
        <v>98</v>
      </c>
      <c r="F24" s="25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E25" s="23" t="s">
        <v>18</v>
      </c>
      <c r="F25" s="25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</sheetData>
  <autoFilter ref="O1:O25"/>
  <mergeCells count="21">
    <mergeCell ref="R5:R8"/>
    <mergeCell ref="F6:F8"/>
    <mergeCell ref="G6:G8"/>
    <mergeCell ref="I5:I8"/>
    <mergeCell ref="F5:H5"/>
    <mergeCell ref="H6:H8"/>
    <mergeCell ref="M5:M8"/>
    <mergeCell ref="N5:N8"/>
    <mergeCell ref="Q5:Q8"/>
    <mergeCell ref="J5:J8"/>
    <mergeCell ref="K5:K8"/>
    <mergeCell ref="L5:L8"/>
    <mergeCell ref="A1:N1"/>
    <mergeCell ref="A2:N2"/>
    <mergeCell ref="A3:N3"/>
    <mergeCell ref="F4:G4"/>
    <mergeCell ref="A5:A8"/>
    <mergeCell ref="B5:B8"/>
    <mergeCell ref="C5:C8"/>
    <mergeCell ref="D5:D8"/>
    <mergeCell ref="E5:E8"/>
  </mergeCells>
  <conditionalFormatting sqref="F11">
    <cfRule type="cellIs" dxfId="46" priority="1" stopIfTrue="1" operator="between">
      <formula>2000001</formula>
      <formula>500000000</formula>
    </cfRule>
  </conditionalFormatting>
  <pageMargins left="0.70866141732283472" right="0.27559055118110237" top="0.74803149606299213" bottom="0.74803149606299213" header="0.31496062992125984" footer="0.31496062992125984"/>
  <pageSetup paperSize="9" scale="90" orientation="landscape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26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7109375" style="3" customWidth="1"/>
    <col min="4" max="4" width="6.5703125" style="3" customWidth="1"/>
    <col min="5" max="5" width="40.85546875" style="1" customWidth="1"/>
    <col min="6" max="6" width="15.140625" style="4" customWidth="1"/>
    <col min="7" max="7" width="14.85546875" style="106" customWidth="1"/>
    <col min="8" max="8" width="14.85546875" style="106" hidden="1" customWidth="1"/>
    <col min="9" max="9" width="36.5703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0.42578125" style="106" customWidth="1"/>
    <col min="15" max="15" width="4.85546875" style="441" customWidth="1"/>
    <col min="16" max="16" width="19.5703125" style="434" bestFit="1" customWidth="1"/>
    <col min="17" max="17" width="9.140625" style="434"/>
    <col min="18" max="18" width="13.5703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0"/>
      <c r="P2" s="435" t="s">
        <v>522</v>
      </c>
      <c r="Q2" s="434">
        <v>3</v>
      </c>
      <c r="R2" s="436" t="e">
        <f>+#REF!+#REF!+#REF!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8.75" customHeight="1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0"/>
      <c r="P3" s="437" t="s">
        <v>523</v>
      </c>
      <c r="Q3" s="438">
        <v>4</v>
      </c>
      <c r="R3" s="439" t="e">
        <f>+#REF!+#REF!+#REF!+#REF!</f>
        <v>#REF!</v>
      </c>
      <c r="S3" s="440">
        <v>6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ht="17.25" customHeight="1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19.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19.5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18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6.5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ht="20.25" customHeight="1" x14ac:dyDescent="0.5">
      <c r="A9" s="12"/>
      <c r="B9" s="12"/>
      <c r="C9" s="12"/>
      <c r="D9" s="12"/>
      <c r="E9" s="32" t="s">
        <v>5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312" customHeight="1" x14ac:dyDescent="0.2">
      <c r="A11" s="486">
        <v>1</v>
      </c>
      <c r="B11" s="486"/>
      <c r="C11" s="660" t="s">
        <v>276</v>
      </c>
      <c r="D11" s="486" t="s">
        <v>105</v>
      </c>
      <c r="E11" s="530" t="s">
        <v>321</v>
      </c>
      <c r="F11" s="531">
        <v>5500000</v>
      </c>
      <c r="G11" s="488"/>
      <c r="H11" s="488"/>
      <c r="I11" s="618" t="s">
        <v>700</v>
      </c>
      <c r="J11" s="557"/>
      <c r="K11" s="547"/>
      <c r="L11" s="547"/>
      <c r="M11" s="661" t="s">
        <v>701</v>
      </c>
      <c r="N11" s="661"/>
      <c r="O11" s="464">
        <v>2</v>
      </c>
      <c r="P11" s="453"/>
      <c r="Q11" s="453"/>
      <c r="R11" s="453"/>
      <c r="S11" s="453"/>
      <c r="T11" s="453"/>
    </row>
    <row r="12" spans="1:39" s="9" customFormat="1" ht="25.5" customHeight="1" x14ac:dyDescent="0.2">
      <c r="A12" s="6"/>
      <c r="B12" s="13"/>
      <c r="C12" s="13"/>
      <c r="D12" s="13"/>
      <c r="E12" s="7"/>
      <c r="F12" s="334"/>
      <c r="G12" s="11"/>
      <c r="H12" s="11"/>
      <c r="I12" s="257"/>
      <c r="J12" s="280"/>
      <c r="K12" s="10"/>
      <c r="L12" s="10"/>
      <c r="M12" s="257"/>
      <c r="N12" s="257"/>
      <c r="O12" s="445"/>
      <c r="P12" s="437"/>
      <c r="Q12" s="437"/>
      <c r="R12" s="437"/>
      <c r="S12" s="437"/>
      <c r="T12" s="437"/>
    </row>
    <row r="13" spans="1:39" s="14" customFormat="1" x14ac:dyDescent="0.5">
      <c r="A13" s="241">
        <f>+A11</f>
        <v>1</v>
      </c>
      <c r="B13" s="241"/>
      <c r="C13" s="241"/>
      <c r="D13" s="241"/>
      <c r="E13" s="242" t="s">
        <v>47</v>
      </c>
      <c r="F13" s="329">
        <f>SUM(F11:F12)</f>
        <v>5500000</v>
      </c>
      <c r="G13" s="243">
        <f>SUM(G12:G12)</f>
        <v>0</v>
      </c>
      <c r="H13" s="243">
        <f>SUM(H12:H12)</f>
        <v>0</v>
      </c>
      <c r="I13" s="241"/>
      <c r="J13" s="284">
        <f>SUM(J12:J12)</f>
        <v>0</v>
      </c>
      <c r="K13" s="243">
        <f>SUM(K12:K12)</f>
        <v>0</v>
      </c>
      <c r="L13" s="243">
        <f>SUM(L12:L12)</f>
        <v>0</v>
      </c>
      <c r="M13" s="241"/>
      <c r="N13" s="241"/>
      <c r="O13" s="463"/>
      <c r="P13" s="450">
        <f>+F13+G13</f>
        <v>5500000</v>
      </c>
      <c r="Q13" s="451"/>
      <c r="R13" s="451"/>
      <c r="S13" s="452"/>
      <c r="T13" s="452"/>
    </row>
    <row r="14" spans="1:39" s="19" customFormat="1" x14ac:dyDescent="0.2">
      <c r="A14" s="17"/>
      <c r="B14" s="17"/>
      <c r="C14" s="17"/>
      <c r="D14" s="17"/>
      <c r="E14" s="30" t="s">
        <v>10</v>
      </c>
      <c r="F14" s="33"/>
      <c r="G14" s="34"/>
      <c r="H14" s="34"/>
      <c r="I14" s="257"/>
      <c r="J14" s="278"/>
      <c r="K14" s="18"/>
      <c r="L14" s="18"/>
      <c r="M14" s="257"/>
      <c r="N14" s="257"/>
      <c r="O14" s="464"/>
      <c r="P14" s="453"/>
      <c r="Q14" s="453"/>
      <c r="R14" s="453"/>
      <c r="S14" s="453"/>
      <c r="T14" s="453"/>
    </row>
    <row r="15" spans="1:39" s="302" customFormat="1" ht="152.25" x14ac:dyDescent="0.2">
      <c r="A15" s="486">
        <v>1</v>
      </c>
      <c r="B15" s="486"/>
      <c r="C15" s="660" t="s">
        <v>448</v>
      </c>
      <c r="D15" s="667" t="s">
        <v>5</v>
      </c>
      <c r="E15" s="530" t="s">
        <v>322</v>
      </c>
      <c r="F15" s="531">
        <v>12205700</v>
      </c>
      <c r="G15" s="488"/>
      <c r="H15" s="488"/>
      <c r="I15" s="663" t="s">
        <v>702</v>
      </c>
      <c r="J15" s="599"/>
      <c r="K15" s="514"/>
      <c r="L15" s="514"/>
      <c r="M15" s="664" t="s">
        <v>703</v>
      </c>
      <c r="N15" s="664"/>
      <c r="O15" s="464">
        <v>2</v>
      </c>
      <c r="P15" s="454"/>
      <c r="Q15" s="454"/>
      <c r="R15" s="454"/>
      <c r="S15" s="454"/>
      <c r="T15" s="454"/>
    </row>
    <row r="16" spans="1:39" s="302" customFormat="1" ht="65.25" x14ac:dyDescent="0.2">
      <c r="A16" s="486">
        <v>2</v>
      </c>
      <c r="B16" s="486"/>
      <c r="C16" s="660" t="s">
        <v>448</v>
      </c>
      <c r="D16" s="667" t="s">
        <v>5</v>
      </c>
      <c r="E16" s="665" t="s">
        <v>227</v>
      </c>
      <c r="F16" s="666">
        <v>12551100</v>
      </c>
      <c r="G16" s="488"/>
      <c r="H16" s="488"/>
      <c r="I16" s="663" t="s">
        <v>704</v>
      </c>
      <c r="J16" s="599"/>
      <c r="K16" s="514"/>
      <c r="L16" s="514"/>
      <c r="M16" s="664" t="s">
        <v>704</v>
      </c>
      <c r="N16" s="664"/>
      <c r="O16" s="464">
        <v>2</v>
      </c>
      <c r="P16" s="454"/>
      <c r="Q16" s="454"/>
      <c r="R16" s="454"/>
      <c r="S16" s="454"/>
      <c r="T16" s="454"/>
    </row>
    <row r="17" spans="1:47" s="9" customFormat="1" ht="18" customHeight="1" x14ac:dyDescent="0.2">
      <c r="A17" s="6"/>
      <c r="B17" s="6"/>
      <c r="C17" s="6"/>
      <c r="D17" s="6"/>
      <c r="E17" s="7"/>
      <c r="F17" s="335"/>
      <c r="G17" s="11"/>
      <c r="H17" s="11"/>
      <c r="I17" s="11"/>
      <c r="J17" s="11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47" s="19" customFormat="1" ht="22.5" thickBot="1" x14ac:dyDescent="0.55000000000000004">
      <c r="A18" s="266">
        <f>+A16</f>
        <v>2</v>
      </c>
      <c r="B18" s="244"/>
      <c r="C18" s="244"/>
      <c r="D18" s="244"/>
      <c r="E18" s="245" t="s">
        <v>33</v>
      </c>
      <c r="F18" s="330">
        <f>SUM(F15:F17)</f>
        <v>24756800</v>
      </c>
      <c r="G18" s="330">
        <f>SUM(G15:G17)</f>
        <v>0</v>
      </c>
      <c r="H18" s="330">
        <f>SUM(H15:H17)</f>
        <v>0</v>
      </c>
      <c r="I18" s="246"/>
      <c r="J18" s="246">
        <f>SUM(J15:J17)</f>
        <v>0</v>
      </c>
      <c r="K18" s="246">
        <f>SUM(K15:K17)</f>
        <v>0</v>
      </c>
      <c r="L18" s="246">
        <f>SUM(L15:L17)</f>
        <v>0</v>
      </c>
      <c r="M18" s="246"/>
      <c r="N18" s="246"/>
      <c r="O18" s="462"/>
      <c r="P18" s="455">
        <f>+F18+G18</f>
        <v>24756800</v>
      </c>
      <c r="Q18" s="451"/>
      <c r="R18" s="451"/>
      <c r="S18" s="453"/>
      <c r="T18" s="453"/>
    </row>
    <row r="19" spans="1:47" s="28" customFormat="1" ht="22.5" thickBot="1" x14ac:dyDescent="0.55000000000000004">
      <c r="A19" s="247">
        <f>+A13+A18</f>
        <v>3</v>
      </c>
      <c r="B19" s="248"/>
      <c r="C19" s="248"/>
      <c r="D19" s="248"/>
      <c r="E19" s="248" t="s">
        <v>185</v>
      </c>
      <c r="F19" s="331">
        <f>F13+F18</f>
        <v>30256800</v>
      </c>
      <c r="G19" s="310">
        <f>+G13+G18</f>
        <v>0</v>
      </c>
      <c r="H19" s="310">
        <f>+H13+H18</f>
        <v>0</v>
      </c>
      <c r="I19" s="249"/>
      <c r="J19" s="249">
        <f>J13+J18</f>
        <v>0</v>
      </c>
      <c r="K19" s="249">
        <f>K13+K18</f>
        <v>0</v>
      </c>
      <c r="L19" s="249">
        <f>L13+L18</f>
        <v>0</v>
      </c>
      <c r="M19" s="249"/>
      <c r="N19" s="249"/>
      <c r="O19" s="465"/>
      <c r="P19" s="436">
        <f>+P13+P18</f>
        <v>30256800</v>
      </c>
      <c r="Q19" s="457"/>
      <c r="R19" s="457"/>
      <c r="S19" s="434"/>
      <c r="T19" s="434"/>
      <c r="U19" s="2"/>
      <c r="V19" s="2"/>
      <c r="W19" s="2"/>
      <c r="X19" s="2"/>
      <c r="Y19" s="2"/>
      <c r="Z19" s="2"/>
      <c r="AA19" s="2"/>
      <c r="AB19" s="2"/>
    </row>
    <row r="20" spans="1:47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1" spans="1:47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3" spans="1:47" s="23" customFormat="1" x14ac:dyDescent="0.5">
      <c r="A23" s="22"/>
      <c r="B23" s="22"/>
      <c r="C23" s="22"/>
      <c r="D23" s="22"/>
      <c r="E23" s="81"/>
      <c r="F23" s="286"/>
      <c r="G23" s="125"/>
      <c r="H23" s="125"/>
      <c r="I23" s="125"/>
      <c r="J23" s="125"/>
      <c r="K23" s="190"/>
      <c r="L23" s="190"/>
      <c r="M23" s="125"/>
      <c r="N23" s="125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F24" s="25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5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</sheetData>
  <autoFilter ref="O1:O26"/>
  <mergeCells count="21">
    <mergeCell ref="A1:N1"/>
    <mergeCell ref="A2:N2"/>
    <mergeCell ref="A3:N3"/>
    <mergeCell ref="L5:L8"/>
    <mergeCell ref="I5:I8"/>
    <mergeCell ref="F5:H5"/>
    <mergeCell ref="H6:H8"/>
    <mergeCell ref="N5:N8"/>
    <mergeCell ref="M5:M8"/>
    <mergeCell ref="R5:R8"/>
    <mergeCell ref="F4:G4"/>
    <mergeCell ref="E5:E8"/>
    <mergeCell ref="J5:J8"/>
    <mergeCell ref="A5:A8"/>
    <mergeCell ref="B5:B8"/>
    <mergeCell ref="Q5:Q8"/>
    <mergeCell ref="F6:F8"/>
    <mergeCell ref="D5:D8"/>
    <mergeCell ref="G6:G8"/>
    <mergeCell ref="C5:C8"/>
    <mergeCell ref="K5:K8"/>
  </mergeCells>
  <phoneticPr fontId="2" type="noConversion"/>
  <conditionalFormatting sqref="F11">
    <cfRule type="cellIs" dxfId="45" priority="4" stopIfTrue="1" operator="between">
      <formula>2000001</formula>
      <formula>500000000</formula>
    </cfRule>
  </conditionalFormatting>
  <conditionalFormatting sqref="F15:F16">
    <cfRule type="cellIs" dxfId="44" priority="1" stopIfTrue="1" operator="between">
      <formula>2000001</formula>
      <formula>500000000</formula>
    </cfRule>
  </conditionalFormatting>
  <pageMargins left="0.74803149606299213" right="0.74803149606299213" top="0.43307086614173229" bottom="0.62992125984251968" header="0.15748031496062992" footer="0.35433070866141736"/>
  <pageSetup paperSize="9" scale="85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32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7" style="3" customWidth="1"/>
    <col min="5" max="5" width="42.42578125" style="1" customWidth="1"/>
    <col min="6" max="6" width="17.28515625" style="4" customWidth="1"/>
    <col min="7" max="7" width="13.85546875" style="106" customWidth="1"/>
    <col min="8" max="8" width="13.85546875" style="106" hidden="1" customWidth="1"/>
    <col min="9" max="9" width="28.5703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28.5703125" style="106" customWidth="1"/>
    <col min="15" max="15" width="4.28515625" style="441" customWidth="1"/>
    <col min="16" max="16" width="19.5703125" style="434" bestFit="1" customWidth="1"/>
    <col min="17" max="17" width="9.140625" style="434"/>
    <col min="18" max="18" width="14.5703125" style="434" bestFit="1" customWidth="1"/>
    <col min="19" max="19" width="9.140625" style="434"/>
    <col min="20" max="20" width="13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0"/>
      <c r="P2" s="435" t="s">
        <v>522</v>
      </c>
      <c r="Q2" s="434">
        <v>8</v>
      </c>
      <c r="R2" s="436" t="e">
        <f>+#REF!+#REF!+#REF!+#REF!+#REF!+#REF!+#REF!+#REF!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0"/>
      <c r="P3" s="437" t="s">
        <v>523</v>
      </c>
      <c r="Q3" s="438">
        <v>2</v>
      </c>
      <c r="R3" s="439" t="e">
        <f>+#REF!+#REF!</f>
        <v>#REF!</v>
      </c>
      <c r="S3" s="440">
        <v>2</v>
      </c>
      <c r="T3" s="439" t="e">
        <f>+#REF!+#REF!</f>
        <v>#REF!</v>
      </c>
      <c r="U3" s="1"/>
      <c r="V3" s="1"/>
      <c r="W3" s="1"/>
      <c r="X3" s="1"/>
      <c r="Y3" s="1"/>
      <c r="Z3" s="1"/>
      <c r="AA3" s="1"/>
      <c r="AB3" s="1"/>
    </row>
    <row r="4" spans="1:39" ht="13.5" customHeight="1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89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90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90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91"/>
      <c r="K8" s="769"/>
      <c r="L8" s="777"/>
      <c r="M8" s="786"/>
      <c r="N8" s="786"/>
      <c r="O8" s="462"/>
      <c r="Q8" s="788"/>
      <c r="R8" s="788"/>
    </row>
    <row r="9" spans="1:39" x14ac:dyDescent="0.5">
      <c r="A9" s="12"/>
      <c r="B9" s="12"/>
      <c r="C9" s="12"/>
      <c r="D9" s="12"/>
      <c r="E9" s="32" t="s">
        <v>2</v>
      </c>
      <c r="F9" s="12"/>
      <c r="G9" s="105"/>
      <c r="H9" s="105"/>
      <c r="I9" s="105"/>
      <c r="J9" s="279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280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45" x14ac:dyDescent="0.2">
      <c r="A11" s="275">
        <v>1</v>
      </c>
      <c r="B11" s="668"/>
      <c r="C11" s="517" t="s">
        <v>293</v>
      </c>
      <c r="D11" s="668" t="s">
        <v>2</v>
      </c>
      <c r="E11" s="628" t="s">
        <v>453</v>
      </c>
      <c r="F11" s="612">
        <v>200000</v>
      </c>
      <c r="G11" s="366"/>
      <c r="H11" s="366"/>
      <c r="I11" s="548" t="s">
        <v>705</v>
      </c>
      <c r="J11" s="557"/>
      <c r="K11" s="547"/>
      <c r="L11" s="547"/>
      <c r="M11" s="548" t="s">
        <v>706</v>
      </c>
      <c r="N11" s="548"/>
      <c r="O11" s="464">
        <v>1</v>
      </c>
      <c r="P11" s="453"/>
      <c r="Q11" s="453"/>
      <c r="R11" s="453"/>
      <c r="S11" s="453"/>
      <c r="T11" s="453"/>
    </row>
    <row r="12" spans="1:39" s="19" customFormat="1" ht="65.25" x14ac:dyDescent="0.2">
      <c r="A12" s="275">
        <v>2</v>
      </c>
      <c r="B12" s="668"/>
      <c r="C12" s="517" t="s">
        <v>293</v>
      </c>
      <c r="D12" s="668" t="s">
        <v>2</v>
      </c>
      <c r="E12" s="628" t="s">
        <v>454</v>
      </c>
      <c r="F12" s="612">
        <v>29200</v>
      </c>
      <c r="G12" s="366"/>
      <c r="H12" s="366"/>
      <c r="I12" s="548" t="s">
        <v>705</v>
      </c>
      <c r="J12" s="557"/>
      <c r="K12" s="547"/>
      <c r="L12" s="547"/>
      <c r="M12" s="548" t="s">
        <v>706</v>
      </c>
      <c r="N12" s="548"/>
      <c r="O12" s="464">
        <v>1</v>
      </c>
      <c r="P12" s="453"/>
      <c r="Q12" s="453"/>
      <c r="R12" s="453"/>
      <c r="S12" s="453"/>
      <c r="T12" s="453"/>
    </row>
    <row r="13" spans="1:39" s="19" customFormat="1" ht="65.25" x14ac:dyDescent="0.2">
      <c r="A13" s="275">
        <v>3</v>
      </c>
      <c r="B13" s="668"/>
      <c r="C13" s="517" t="s">
        <v>293</v>
      </c>
      <c r="D13" s="668" t="s">
        <v>2</v>
      </c>
      <c r="E13" s="628" t="s">
        <v>455</v>
      </c>
      <c r="F13" s="612">
        <v>330700</v>
      </c>
      <c r="G13" s="366"/>
      <c r="H13" s="366"/>
      <c r="I13" s="548" t="s">
        <v>708</v>
      </c>
      <c r="J13" s="557"/>
      <c r="K13" s="547"/>
      <c r="L13" s="547"/>
      <c r="M13" s="548" t="s">
        <v>709</v>
      </c>
      <c r="N13" s="548"/>
      <c r="O13" s="464">
        <v>1</v>
      </c>
      <c r="P13" s="453"/>
      <c r="Q13" s="453"/>
      <c r="R13" s="453"/>
      <c r="S13" s="453"/>
      <c r="T13" s="453"/>
    </row>
    <row r="14" spans="1:39" s="19" customFormat="1" ht="65.25" x14ac:dyDescent="0.2">
      <c r="A14" s="486">
        <v>4</v>
      </c>
      <c r="B14" s="669"/>
      <c r="C14" s="558" t="s">
        <v>293</v>
      </c>
      <c r="D14" s="669" t="s">
        <v>2</v>
      </c>
      <c r="E14" s="630" t="s">
        <v>449</v>
      </c>
      <c r="F14" s="602">
        <v>20000000</v>
      </c>
      <c r="G14" s="492"/>
      <c r="H14" s="492"/>
      <c r="I14" s="554" t="s">
        <v>707</v>
      </c>
      <c r="J14" s="557"/>
      <c r="K14" s="547"/>
      <c r="L14" s="547"/>
      <c r="M14" s="554" t="s">
        <v>710</v>
      </c>
      <c r="N14" s="554"/>
      <c r="O14" s="464">
        <v>2</v>
      </c>
      <c r="P14" s="453"/>
      <c r="Q14" s="453"/>
      <c r="R14" s="453"/>
      <c r="S14" s="453"/>
      <c r="T14" s="453"/>
    </row>
    <row r="15" spans="1:39" s="19" customFormat="1" ht="65.25" x14ac:dyDescent="0.2">
      <c r="A15" s="275">
        <v>5</v>
      </c>
      <c r="B15" s="668"/>
      <c r="C15" s="517" t="s">
        <v>293</v>
      </c>
      <c r="D15" s="668" t="s">
        <v>2</v>
      </c>
      <c r="E15" s="628" t="s">
        <v>450</v>
      </c>
      <c r="F15" s="612">
        <v>2000000</v>
      </c>
      <c r="G15" s="366"/>
      <c r="H15" s="366"/>
      <c r="I15" s="548" t="s">
        <v>708</v>
      </c>
      <c r="J15" s="557"/>
      <c r="K15" s="547"/>
      <c r="L15" s="547"/>
      <c r="M15" s="548" t="s">
        <v>709</v>
      </c>
      <c r="N15" s="548"/>
      <c r="O15" s="464">
        <v>1</v>
      </c>
      <c r="P15" s="453"/>
      <c r="Q15" s="453"/>
      <c r="R15" s="453"/>
      <c r="S15" s="453"/>
      <c r="T15" s="453"/>
    </row>
    <row r="16" spans="1:39" s="19" customFormat="1" ht="87" x14ac:dyDescent="0.2">
      <c r="A16" s="275">
        <v>6</v>
      </c>
      <c r="B16" s="668"/>
      <c r="C16" s="517" t="s">
        <v>293</v>
      </c>
      <c r="D16" s="668" t="s">
        <v>2</v>
      </c>
      <c r="E16" s="628" t="s">
        <v>451</v>
      </c>
      <c r="F16" s="612">
        <v>2000000</v>
      </c>
      <c r="G16" s="366"/>
      <c r="H16" s="366"/>
      <c r="I16" s="670" t="s">
        <v>708</v>
      </c>
      <c r="J16" s="557"/>
      <c r="K16" s="547"/>
      <c r="L16" s="547"/>
      <c r="M16" s="670" t="s">
        <v>709</v>
      </c>
      <c r="N16" s="670"/>
      <c r="O16" s="464">
        <v>1</v>
      </c>
      <c r="P16" s="453"/>
      <c r="Q16" s="453"/>
      <c r="R16" s="453"/>
      <c r="S16" s="453"/>
      <c r="T16" s="453"/>
    </row>
    <row r="17" spans="1:47" s="19" customFormat="1" ht="65.25" x14ac:dyDescent="0.2">
      <c r="A17" s="486">
        <v>7</v>
      </c>
      <c r="B17" s="669"/>
      <c r="C17" s="558" t="s">
        <v>293</v>
      </c>
      <c r="D17" s="669" t="s">
        <v>2</v>
      </c>
      <c r="E17" s="630" t="s">
        <v>452</v>
      </c>
      <c r="F17" s="602">
        <v>182860000</v>
      </c>
      <c r="G17" s="492"/>
      <c r="H17" s="492"/>
      <c r="I17" s="645" t="s">
        <v>708</v>
      </c>
      <c r="J17" s="557"/>
      <c r="K17" s="547"/>
      <c r="L17" s="547"/>
      <c r="M17" s="645" t="s">
        <v>708</v>
      </c>
      <c r="N17" s="645"/>
      <c r="O17" s="464">
        <v>2</v>
      </c>
      <c r="P17" s="453"/>
      <c r="Q17" s="453"/>
      <c r="R17" s="453"/>
      <c r="S17" s="453"/>
      <c r="T17" s="453"/>
    </row>
    <row r="18" spans="1:47" s="9" customFormat="1" ht="23.25" customHeight="1" x14ac:dyDescent="0.2">
      <c r="A18" s="6"/>
      <c r="B18" s="13"/>
      <c r="C18" s="13"/>
      <c r="D18" s="13"/>
      <c r="E18" s="7"/>
      <c r="F18" s="334"/>
      <c r="G18" s="11"/>
      <c r="H18" s="11"/>
      <c r="I18" s="11"/>
      <c r="J18" s="280"/>
      <c r="K18" s="10"/>
      <c r="L18" s="10"/>
      <c r="M18" s="11"/>
      <c r="N18" s="11"/>
      <c r="O18" s="445"/>
      <c r="P18" s="437"/>
      <c r="Q18" s="437"/>
      <c r="R18" s="437"/>
      <c r="S18" s="437"/>
      <c r="T18" s="437"/>
    </row>
    <row r="19" spans="1:47" s="14" customFormat="1" x14ac:dyDescent="0.5">
      <c r="A19" s="241">
        <f>+A17</f>
        <v>7</v>
      </c>
      <c r="B19" s="241"/>
      <c r="C19" s="241"/>
      <c r="D19" s="241"/>
      <c r="E19" s="242" t="s">
        <v>47</v>
      </c>
      <c r="F19" s="329">
        <f>SUM(F11:F18)</f>
        <v>207419900</v>
      </c>
      <c r="G19" s="329">
        <f>SUM(G11:G18)</f>
        <v>0</v>
      </c>
      <c r="H19" s="243" t="e">
        <f>SUM(#REF!)</f>
        <v>#REF!</v>
      </c>
      <c r="I19" s="243"/>
      <c r="J19" s="284" t="e">
        <f>SUM(#REF!)</f>
        <v>#REF!</v>
      </c>
      <c r="K19" s="243" t="e">
        <f>SUM(#REF!)</f>
        <v>#REF!</v>
      </c>
      <c r="L19" s="243" t="e">
        <f>SUM(#REF!)</f>
        <v>#REF!</v>
      </c>
      <c r="M19" s="243"/>
      <c r="N19" s="243"/>
      <c r="O19" s="463"/>
      <c r="P19" s="450">
        <f>+F19+G19</f>
        <v>207419900</v>
      </c>
      <c r="Q19" s="451"/>
      <c r="R19" s="451"/>
      <c r="S19" s="452"/>
      <c r="T19" s="452"/>
    </row>
    <row r="20" spans="1:47" s="19" customFormat="1" x14ac:dyDescent="0.2">
      <c r="A20" s="17"/>
      <c r="B20" s="17"/>
      <c r="C20" s="17"/>
      <c r="D20" s="17"/>
      <c r="E20" s="30" t="s">
        <v>10</v>
      </c>
      <c r="F20" s="336"/>
      <c r="G20" s="34"/>
      <c r="H20" s="34"/>
      <c r="I20" s="34"/>
      <c r="J20" s="278"/>
      <c r="K20" s="18"/>
      <c r="L20" s="18"/>
      <c r="M20" s="34"/>
      <c r="N20" s="34"/>
      <c r="O20" s="464"/>
      <c r="P20" s="453"/>
      <c r="Q20" s="453"/>
      <c r="R20" s="453"/>
      <c r="S20" s="453"/>
      <c r="T20" s="453"/>
    </row>
    <row r="21" spans="1:47" s="19" customFormat="1" ht="233.25" customHeight="1" x14ac:dyDescent="0.2">
      <c r="A21" s="486">
        <v>1</v>
      </c>
      <c r="B21" s="485"/>
      <c r="C21" s="558" t="s">
        <v>293</v>
      </c>
      <c r="D21" s="486" t="s">
        <v>2</v>
      </c>
      <c r="E21" s="630" t="s">
        <v>482</v>
      </c>
      <c r="F21" s="602">
        <v>8257200</v>
      </c>
      <c r="G21" s="484"/>
      <c r="H21" s="484"/>
      <c r="I21" s="671" t="s">
        <v>711</v>
      </c>
      <c r="J21" s="557"/>
      <c r="K21" s="547"/>
      <c r="L21" s="547"/>
      <c r="M21" s="554" t="s">
        <v>712</v>
      </c>
      <c r="N21" s="554"/>
      <c r="O21" s="464">
        <v>2</v>
      </c>
      <c r="P21" s="453"/>
      <c r="Q21" s="453"/>
      <c r="R21" s="453"/>
      <c r="S21" s="453"/>
      <c r="T21" s="453"/>
    </row>
    <row r="22" spans="1:47" s="19" customFormat="1" ht="174" x14ac:dyDescent="0.2">
      <c r="A22" s="486">
        <v>2</v>
      </c>
      <c r="B22" s="485"/>
      <c r="C22" s="558" t="s">
        <v>293</v>
      </c>
      <c r="D22" s="486" t="s">
        <v>2</v>
      </c>
      <c r="E22" s="630" t="s">
        <v>456</v>
      </c>
      <c r="F22" s="602">
        <v>21216000</v>
      </c>
      <c r="G22" s="484"/>
      <c r="H22" s="484"/>
      <c r="I22" s="672" t="s">
        <v>542</v>
      </c>
      <c r="J22" s="557"/>
      <c r="K22" s="547"/>
      <c r="L22" s="547"/>
      <c r="M22" s="554" t="s">
        <v>713</v>
      </c>
      <c r="N22" s="554"/>
      <c r="O22" s="464">
        <v>2</v>
      </c>
      <c r="P22" s="453"/>
      <c r="Q22" s="453"/>
      <c r="R22" s="453"/>
      <c r="S22" s="453"/>
      <c r="T22" s="453"/>
    </row>
    <row r="23" spans="1:47" s="9" customFormat="1" ht="21" customHeight="1" x14ac:dyDescent="0.2">
      <c r="A23" s="6"/>
      <c r="B23" s="6"/>
      <c r="C23" s="6"/>
      <c r="D23" s="6"/>
      <c r="E23" s="7"/>
      <c r="F23" s="335"/>
      <c r="G23" s="11"/>
      <c r="H23" s="11"/>
      <c r="I23" s="11"/>
      <c r="J23" s="280"/>
      <c r="K23" s="10"/>
      <c r="L23" s="10"/>
      <c r="M23" s="11"/>
      <c r="N23" s="11"/>
      <c r="O23" s="445"/>
      <c r="P23" s="437"/>
      <c r="Q23" s="437"/>
      <c r="R23" s="437"/>
      <c r="S23" s="437"/>
      <c r="T23" s="437"/>
    </row>
    <row r="24" spans="1:47" s="19" customFormat="1" ht="22.5" thickBot="1" x14ac:dyDescent="0.55000000000000004">
      <c r="A24" s="266">
        <f>+A22</f>
        <v>2</v>
      </c>
      <c r="B24" s="266"/>
      <c r="C24" s="266"/>
      <c r="D24" s="266"/>
      <c r="E24" s="245" t="s">
        <v>33</v>
      </c>
      <c r="F24" s="330">
        <f>SUM(F21:F23)</f>
        <v>29473200</v>
      </c>
      <c r="G24" s="246">
        <f>SUM(G23:G23)</f>
        <v>0</v>
      </c>
      <c r="H24" s="246">
        <f>SUM(H23:H23)</f>
        <v>0</v>
      </c>
      <c r="I24" s="246"/>
      <c r="J24" s="285">
        <f>SUM(J23:J23)</f>
        <v>0</v>
      </c>
      <c r="K24" s="246">
        <f>SUM(K23:K23)</f>
        <v>0</v>
      </c>
      <c r="L24" s="246">
        <f>SUM(L23:L23)</f>
        <v>0</v>
      </c>
      <c r="M24" s="246"/>
      <c r="N24" s="246"/>
      <c r="O24" s="462"/>
      <c r="P24" s="455">
        <f>+F24+G24</f>
        <v>29473200</v>
      </c>
      <c r="Q24" s="451"/>
      <c r="R24" s="451"/>
      <c r="S24" s="453"/>
      <c r="T24" s="453"/>
    </row>
    <row r="25" spans="1:47" s="28" customFormat="1" ht="22.5" thickBot="1" x14ac:dyDescent="0.55000000000000004">
      <c r="A25" s="247">
        <f>+A19+A24</f>
        <v>9</v>
      </c>
      <c r="B25" s="248"/>
      <c r="C25" s="248"/>
      <c r="D25" s="248"/>
      <c r="E25" s="248" t="s">
        <v>189</v>
      </c>
      <c r="F25" s="331">
        <f>F19+F24</f>
        <v>236893100</v>
      </c>
      <c r="G25" s="310">
        <f>+G19+G24</f>
        <v>0</v>
      </c>
      <c r="H25" s="310" t="e">
        <f>+H19+H24</f>
        <v>#REF!</v>
      </c>
      <c r="I25" s="249"/>
      <c r="J25" s="283" t="e">
        <f>J19+J24</f>
        <v>#REF!</v>
      </c>
      <c r="K25" s="249" t="e">
        <f>K19+K24</f>
        <v>#REF!</v>
      </c>
      <c r="L25" s="249" t="e">
        <f>L19+L24</f>
        <v>#REF!</v>
      </c>
      <c r="M25" s="249"/>
      <c r="N25" s="249"/>
      <c r="O25" s="465"/>
      <c r="P25" s="436">
        <f>+P19+P24</f>
        <v>236893100</v>
      </c>
      <c r="Q25" s="457"/>
      <c r="R25" s="457"/>
      <c r="S25" s="434"/>
      <c r="T25" s="434"/>
      <c r="U25" s="2"/>
      <c r="V25" s="2"/>
      <c r="W25" s="2"/>
      <c r="X25" s="2"/>
      <c r="Y25" s="2"/>
      <c r="Z25" s="2"/>
      <c r="AA25" s="2"/>
      <c r="AB25" s="2"/>
    </row>
    <row r="26" spans="1:47" s="9" customFormat="1" x14ac:dyDescent="0.2">
      <c r="A26" s="15"/>
      <c r="B26" s="15"/>
      <c r="C26" s="15"/>
      <c r="D26" s="15"/>
      <c r="E26" s="31"/>
      <c r="F26" s="21"/>
      <c r="G26" s="20"/>
      <c r="H26" s="20"/>
      <c r="I26" s="20"/>
      <c r="J26" s="20"/>
      <c r="K26" s="104"/>
      <c r="L26" s="104"/>
      <c r="M26" s="20"/>
      <c r="N26" s="20"/>
      <c r="O26" s="445"/>
      <c r="P26" s="437"/>
      <c r="Q26" s="437"/>
      <c r="R26" s="437"/>
      <c r="S26" s="437"/>
      <c r="T26" s="437"/>
    </row>
    <row r="27" spans="1:47" s="9" customFormat="1" x14ac:dyDescent="0.5">
      <c r="A27" s="15"/>
      <c r="B27" s="15"/>
      <c r="C27" s="15"/>
      <c r="D27" s="15"/>
      <c r="E27" s="31"/>
      <c r="F27" s="35"/>
      <c r="G27" s="20"/>
      <c r="H27" s="20"/>
      <c r="I27" s="20"/>
      <c r="J27" s="20"/>
      <c r="K27" s="104"/>
      <c r="L27" s="104"/>
      <c r="M27" s="20"/>
      <c r="N27" s="20"/>
      <c r="O27" s="445"/>
      <c r="P27" s="437"/>
      <c r="Q27" s="437"/>
      <c r="R27" s="437"/>
      <c r="S27" s="437"/>
      <c r="T27" s="437"/>
    </row>
    <row r="29" spans="1:47" s="23" customFormat="1" x14ac:dyDescent="0.5">
      <c r="A29" s="22"/>
      <c r="B29" s="22"/>
      <c r="C29" s="22"/>
      <c r="D29" s="22"/>
      <c r="E29" s="81"/>
      <c r="F29" s="286"/>
      <c r="G29" s="125"/>
      <c r="H29" s="125"/>
      <c r="I29" s="125"/>
      <c r="J29" s="125"/>
      <c r="K29" s="190"/>
      <c r="L29" s="190"/>
      <c r="M29" s="125"/>
      <c r="N29" s="125"/>
      <c r="O29" s="441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  <row r="30" spans="1:47" s="23" customFormat="1" x14ac:dyDescent="0.5">
      <c r="A30" s="22"/>
      <c r="B30" s="22"/>
      <c r="C30" s="22"/>
      <c r="D30" s="22"/>
      <c r="F30" s="25"/>
      <c r="G30" s="107"/>
      <c r="H30" s="107"/>
      <c r="I30" s="107"/>
      <c r="J30" s="107"/>
      <c r="K30" s="190"/>
      <c r="L30" s="190"/>
      <c r="M30" s="107"/>
      <c r="N30" s="107"/>
      <c r="O30" s="441"/>
      <c r="P30" s="434"/>
      <c r="Q30" s="434"/>
      <c r="R30" s="434"/>
      <c r="S30" s="434"/>
      <c r="T30" s="43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</row>
    <row r="31" spans="1:47" s="23" customFormat="1" x14ac:dyDescent="0.5">
      <c r="A31" s="22"/>
      <c r="B31" s="22"/>
      <c r="C31" s="22"/>
      <c r="D31" s="22"/>
      <c r="F31" s="25"/>
      <c r="G31" s="107"/>
      <c r="H31" s="107"/>
      <c r="I31" s="107"/>
      <c r="J31" s="107"/>
      <c r="K31" s="190"/>
      <c r="L31" s="190"/>
      <c r="M31" s="107"/>
      <c r="N31" s="107"/>
      <c r="O31" s="441"/>
      <c r="P31" s="434"/>
      <c r="Q31" s="434"/>
      <c r="R31" s="434"/>
      <c r="S31" s="434"/>
      <c r="T31" s="43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</row>
    <row r="32" spans="1:47" s="23" customFormat="1" x14ac:dyDescent="0.5">
      <c r="A32" s="22"/>
      <c r="B32" s="22"/>
      <c r="C32" s="22"/>
      <c r="D32" s="22"/>
      <c r="F32" s="25"/>
      <c r="G32" s="107"/>
      <c r="H32" s="107"/>
      <c r="I32" s="107"/>
      <c r="J32" s="107"/>
      <c r="K32" s="190"/>
      <c r="L32" s="190"/>
      <c r="M32" s="107"/>
      <c r="N32" s="107"/>
      <c r="O32" s="441"/>
      <c r="P32" s="434"/>
      <c r="Q32" s="434"/>
      <c r="R32" s="434"/>
      <c r="S32" s="434"/>
      <c r="T32" s="43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</row>
  </sheetData>
  <autoFilter ref="O1:O32"/>
  <mergeCells count="21">
    <mergeCell ref="A1:N1"/>
    <mergeCell ref="A2:N2"/>
    <mergeCell ref="A3:N3"/>
    <mergeCell ref="K5:K8"/>
    <mergeCell ref="L5:L8"/>
    <mergeCell ref="C5:C8"/>
    <mergeCell ref="F5:H5"/>
    <mergeCell ref="A5:A8"/>
    <mergeCell ref="B5:B8"/>
    <mergeCell ref="D5:D8"/>
    <mergeCell ref="R5:R8"/>
    <mergeCell ref="F4:G4"/>
    <mergeCell ref="E5:E8"/>
    <mergeCell ref="J5:J8"/>
    <mergeCell ref="I5:I8"/>
    <mergeCell ref="G6:G8"/>
    <mergeCell ref="Q5:Q8"/>
    <mergeCell ref="F6:F8"/>
    <mergeCell ref="H6:H8"/>
    <mergeCell ref="M5:M8"/>
    <mergeCell ref="N5:N8"/>
  </mergeCells>
  <phoneticPr fontId="2" type="noConversion"/>
  <conditionalFormatting sqref="F14:F17 F11:F12">
    <cfRule type="cellIs" dxfId="43" priority="9" stopIfTrue="1" operator="between">
      <formula>2000001</formula>
      <formula>500000000</formula>
    </cfRule>
    <cfRule type="cellIs" dxfId="42" priority="10" stopIfTrue="1" operator="between">
      <formula>2000001</formula>
      <formula>500000000</formula>
    </cfRule>
  </conditionalFormatting>
  <conditionalFormatting sqref="F13">
    <cfRule type="cellIs" dxfId="41" priority="7" stopIfTrue="1" operator="between">
      <formula>2000001</formula>
      <formula>500000000</formula>
    </cfRule>
    <cfRule type="cellIs" dxfId="40" priority="8" stopIfTrue="1" operator="between">
      <formula>2000001</formula>
      <formula>500000000</formula>
    </cfRule>
  </conditionalFormatting>
  <conditionalFormatting sqref="F22">
    <cfRule type="cellIs" dxfId="39" priority="5" stopIfTrue="1" operator="between">
      <formula>2000001</formula>
      <formula>500000000</formula>
    </cfRule>
    <cfRule type="cellIs" dxfId="38" priority="6" stopIfTrue="1" operator="between">
      <formula>2000001</formula>
      <formula>500000000</formula>
    </cfRule>
  </conditionalFormatting>
  <conditionalFormatting sqref="F21">
    <cfRule type="cellIs" dxfId="37" priority="3" stopIfTrue="1" operator="between">
      <formula>2000001</formula>
      <formula>500000000</formula>
    </cfRule>
    <cfRule type="cellIs" dxfId="36" priority="4" stopIfTrue="1" operator="between">
      <formula>2000001</formula>
      <formula>500000000</formula>
    </cfRule>
  </conditionalFormatting>
  <pageMargins left="0.74803149606299213" right="0.74803149606299213" top="0.27559055118110237" bottom="0.27559055118110237" header="0.27559055118110237" footer="0.39370078740157483"/>
  <pageSetup paperSize="9" scale="85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45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28515625" style="3" customWidth="1"/>
    <col min="5" max="5" width="42" style="1" customWidth="1"/>
    <col min="6" max="6" width="15" style="4" customWidth="1"/>
    <col min="7" max="7" width="13.28515625" style="106" customWidth="1"/>
    <col min="8" max="8" width="13.28515625" style="106" hidden="1" customWidth="1"/>
    <col min="9" max="9" width="29.140625" style="106" hidden="1" customWidth="1"/>
    <col min="10" max="10" width="13.140625" style="106" hidden="1" customWidth="1"/>
    <col min="11" max="11" width="12.28515625" style="156" hidden="1" customWidth="1"/>
    <col min="12" max="12" width="21.85546875" style="156" hidden="1" customWidth="1"/>
    <col min="13" max="14" width="29.140625" style="106" customWidth="1"/>
    <col min="15" max="15" width="4" style="441" customWidth="1"/>
    <col min="16" max="16" width="19.5703125" style="434" bestFit="1" customWidth="1"/>
    <col min="17" max="17" width="9.7109375" style="434" customWidth="1"/>
    <col min="18" max="18" width="13.5703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0"/>
      <c r="P2" s="435" t="s">
        <v>522</v>
      </c>
      <c r="Q2" s="434">
        <v>27</v>
      </c>
      <c r="R2" s="436" t="e">
        <f>SUM(#REF!)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0"/>
      <c r="P3" s="437" t="s">
        <v>523</v>
      </c>
      <c r="Q3" s="438">
        <v>1</v>
      </c>
      <c r="R3" s="439" t="e">
        <f>+#REF!</f>
        <v>#REF!</v>
      </c>
      <c r="S3" s="440">
        <v>10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x14ac:dyDescent="0.5">
      <c r="A9" s="12"/>
      <c r="B9" s="12"/>
      <c r="C9" s="12"/>
      <c r="D9" s="12"/>
      <c r="E9" s="32" t="s">
        <v>34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302" customFormat="1" ht="165.75" customHeight="1" x14ac:dyDescent="0.2">
      <c r="A11" s="486">
        <v>1</v>
      </c>
      <c r="B11" s="486"/>
      <c r="C11" s="651" t="s">
        <v>317</v>
      </c>
      <c r="D11" s="486" t="s">
        <v>34</v>
      </c>
      <c r="E11" s="530" t="s">
        <v>534</v>
      </c>
      <c r="F11" s="531">
        <v>48359500</v>
      </c>
      <c r="G11" s="488"/>
      <c r="H11" s="673"/>
      <c r="I11" s="674" t="s">
        <v>714</v>
      </c>
      <c r="J11" s="513"/>
      <c r="K11" s="514"/>
      <c r="L11" s="514"/>
      <c r="M11" s="674" t="s">
        <v>715</v>
      </c>
      <c r="N11" s="674"/>
      <c r="O11" s="469">
        <v>2</v>
      </c>
      <c r="P11" s="454"/>
      <c r="Q11" s="454"/>
      <c r="R11" s="454"/>
      <c r="S11" s="454"/>
      <c r="T11" s="454"/>
    </row>
    <row r="12" spans="1:39" s="302" customFormat="1" ht="69" customHeight="1" x14ac:dyDescent="0.2">
      <c r="A12" s="275">
        <v>2</v>
      </c>
      <c r="B12" s="275"/>
      <c r="C12" s="625" t="s">
        <v>293</v>
      </c>
      <c r="D12" s="275" t="s">
        <v>34</v>
      </c>
      <c r="E12" s="518" t="s">
        <v>224</v>
      </c>
      <c r="F12" s="519">
        <v>280000</v>
      </c>
      <c r="G12" s="298"/>
      <c r="H12" s="298"/>
      <c r="I12" s="675" t="s">
        <v>716</v>
      </c>
      <c r="J12" s="513"/>
      <c r="K12" s="514"/>
      <c r="L12" s="514"/>
      <c r="M12" s="676" t="s">
        <v>717</v>
      </c>
      <c r="N12" s="676"/>
      <c r="O12" s="469">
        <v>1</v>
      </c>
      <c r="P12" s="454"/>
      <c r="Q12" s="454"/>
      <c r="R12" s="454"/>
      <c r="S12" s="454"/>
      <c r="T12" s="454"/>
    </row>
    <row r="13" spans="1:39" s="302" customFormat="1" ht="71.25" customHeight="1" x14ac:dyDescent="0.2">
      <c r="A13" s="275">
        <v>3</v>
      </c>
      <c r="B13" s="275"/>
      <c r="C13" s="625" t="s">
        <v>293</v>
      </c>
      <c r="D13" s="275" t="s">
        <v>34</v>
      </c>
      <c r="E13" s="518" t="s">
        <v>225</v>
      </c>
      <c r="F13" s="519">
        <v>17700</v>
      </c>
      <c r="G13" s="298"/>
      <c r="H13" s="298"/>
      <c r="I13" s="676" t="s">
        <v>716</v>
      </c>
      <c r="J13" s="513"/>
      <c r="K13" s="514"/>
      <c r="L13" s="514"/>
      <c r="M13" s="676" t="s">
        <v>718</v>
      </c>
      <c r="N13" s="676"/>
      <c r="O13" s="469">
        <v>1</v>
      </c>
      <c r="P13" s="454"/>
      <c r="Q13" s="454"/>
      <c r="R13" s="454"/>
      <c r="S13" s="454"/>
      <c r="T13" s="454"/>
    </row>
    <row r="14" spans="1:39" s="302" customFormat="1" ht="72.75" customHeight="1" x14ac:dyDescent="0.2">
      <c r="A14" s="275">
        <v>4</v>
      </c>
      <c r="B14" s="275"/>
      <c r="C14" s="625" t="s">
        <v>293</v>
      </c>
      <c r="D14" s="275" t="s">
        <v>34</v>
      </c>
      <c r="E14" s="518" t="s">
        <v>323</v>
      </c>
      <c r="F14" s="519">
        <v>900000</v>
      </c>
      <c r="G14" s="298"/>
      <c r="H14" s="303"/>
      <c r="I14" s="677" t="s">
        <v>716</v>
      </c>
      <c r="J14" s="513"/>
      <c r="K14" s="514"/>
      <c r="L14" s="514"/>
      <c r="M14" s="677" t="s">
        <v>719</v>
      </c>
      <c r="N14" s="677"/>
      <c r="O14" s="469">
        <v>1</v>
      </c>
      <c r="P14" s="454"/>
      <c r="Q14" s="454"/>
      <c r="R14" s="454"/>
      <c r="S14" s="454"/>
      <c r="T14" s="454"/>
    </row>
    <row r="15" spans="1:39" s="302" customFormat="1" ht="69" customHeight="1" x14ac:dyDescent="0.2">
      <c r="A15" s="275">
        <v>5</v>
      </c>
      <c r="B15" s="275"/>
      <c r="C15" s="625" t="s">
        <v>293</v>
      </c>
      <c r="D15" s="275" t="s">
        <v>34</v>
      </c>
      <c r="E15" s="518" t="s">
        <v>324</v>
      </c>
      <c r="F15" s="519">
        <v>19800</v>
      </c>
      <c r="G15" s="298"/>
      <c r="H15" s="303"/>
      <c r="I15" s="677" t="s">
        <v>716</v>
      </c>
      <c r="J15" s="513"/>
      <c r="K15" s="514"/>
      <c r="L15" s="514"/>
      <c r="M15" s="677" t="s">
        <v>720</v>
      </c>
      <c r="N15" s="677"/>
      <c r="O15" s="469">
        <v>1</v>
      </c>
      <c r="P15" s="454"/>
      <c r="Q15" s="454"/>
      <c r="R15" s="454"/>
      <c r="S15" s="454"/>
      <c r="T15" s="454"/>
    </row>
    <row r="16" spans="1:39" s="302" customFormat="1" ht="76.5" customHeight="1" x14ac:dyDescent="0.2">
      <c r="A16" s="275">
        <v>6</v>
      </c>
      <c r="B16" s="275"/>
      <c r="C16" s="625" t="s">
        <v>293</v>
      </c>
      <c r="D16" s="275" t="s">
        <v>34</v>
      </c>
      <c r="E16" s="518" t="s">
        <v>325</v>
      </c>
      <c r="F16" s="519">
        <v>51100</v>
      </c>
      <c r="G16" s="298"/>
      <c r="H16" s="303"/>
      <c r="I16" s="677" t="s">
        <v>716</v>
      </c>
      <c r="J16" s="513"/>
      <c r="K16" s="514"/>
      <c r="L16" s="514"/>
      <c r="M16" s="677" t="s">
        <v>721</v>
      </c>
      <c r="N16" s="677"/>
      <c r="O16" s="469">
        <v>1</v>
      </c>
      <c r="P16" s="454"/>
      <c r="Q16" s="454"/>
      <c r="R16" s="454"/>
      <c r="S16" s="454"/>
      <c r="T16" s="454"/>
    </row>
    <row r="17" spans="1:20" s="302" customFormat="1" ht="75.75" customHeight="1" x14ac:dyDescent="0.2">
      <c r="A17" s="275">
        <v>7</v>
      </c>
      <c r="B17" s="275"/>
      <c r="C17" s="625" t="s">
        <v>293</v>
      </c>
      <c r="D17" s="275" t="s">
        <v>34</v>
      </c>
      <c r="E17" s="518" t="s">
        <v>326</v>
      </c>
      <c r="F17" s="519">
        <v>41000</v>
      </c>
      <c r="G17" s="298"/>
      <c r="H17" s="303"/>
      <c r="I17" s="677" t="s">
        <v>716</v>
      </c>
      <c r="J17" s="513"/>
      <c r="K17" s="514"/>
      <c r="L17" s="514"/>
      <c r="M17" s="677" t="s">
        <v>722</v>
      </c>
      <c r="N17" s="677"/>
      <c r="O17" s="469">
        <v>1</v>
      </c>
      <c r="P17" s="454"/>
      <c r="Q17" s="454"/>
      <c r="R17" s="454"/>
      <c r="S17" s="454"/>
      <c r="T17" s="454"/>
    </row>
    <row r="18" spans="1:20" s="302" customFormat="1" ht="75" customHeight="1" x14ac:dyDescent="0.2">
      <c r="A18" s="275">
        <v>8</v>
      </c>
      <c r="B18" s="275"/>
      <c r="C18" s="625" t="s">
        <v>293</v>
      </c>
      <c r="D18" s="275" t="s">
        <v>34</v>
      </c>
      <c r="E18" s="518" t="s">
        <v>327</v>
      </c>
      <c r="F18" s="519">
        <v>16000</v>
      </c>
      <c r="G18" s="298"/>
      <c r="H18" s="298"/>
      <c r="I18" s="675" t="s">
        <v>716</v>
      </c>
      <c r="J18" s="513"/>
      <c r="K18" s="514"/>
      <c r="L18" s="514"/>
      <c r="M18" s="675" t="s">
        <v>723</v>
      </c>
      <c r="N18" s="675"/>
      <c r="O18" s="469">
        <v>1</v>
      </c>
      <c r="P18" s="454"/>
      <c r="Q18" s="454"/>
      <c r="R18" s="454"/>
      <c r="S18" s="454"/>
      <c r="T18" s="454"/>
    </row>
    <row r="19" spans="1:20" s="302" customFormat="1" ht="75.75" customHeight="1" x14ac:dyDescent="0.2">
      <c r="A19" s="275">
        <v>9</v>
      </c>
      <c r="B19" s="275"/>
      <c r="C19" s="625" t="s">
        <v>293</v>
      </c>
      <c r="D19" s="275" t="s">
        <v>34</v>
      </c>
      <c r="E19" s="518" t="s">
        <v>328</v>
      </c>
      <c r="F19" s="519">
        <v>228000</v>
      </c>
      <c r="G19" s="298"/>
      <c r="H19" s="298"/>
      <c r="I19" s="675" t="s">
        <v>716</v>
      </c>
      <c r="J19" s="513"/>
      <c r="K19" s="514"/>
      <c r="L19" s="514"/>
      <c r="M19" s="675" t="s">
        <v>724</v>
      </c>
      <c r="N19" s="675"/>
      <c r="O19" s="469">
        <v>1</v>
      </c>
      <c r="P19" s="454"/>
      <c r="Q19" s="454"/>
      <c r="R19" s="454"/>
      <c r="S19" s="454"/>
      <c r="T19" s="454"/>
    </row>
    <row r="20" spans="1:20" s="302" customFormat="1" ht="74.25" customHeight="1" x14ac:dyDescent="0.2">
      <c r="A20" s="275">
        <v>10</v>
      </c>
      <c r="B20" s="275"/>
      <c r="C20" s="625" t="s">
        <v>293</v>
      </c>
      <c r="D20" s="275" t="s">
        <v>34</v>
      </c>
      <c r="E20" s="518" t="s">
        <v>329</v>
      </c>
      <c r="F20" s="519">
        <v>29000</v>
      </c>
      <c r="G20" s="298"/>
      <c r="H20" s="298"/>
      <c r="I20" s="675" t="s">
        <v>716</v>
      </c>
      <c r="J20" s="513"/>
      <c r="K20" s="514"/>
      <c r="L20" s="514"/>
      <c r="M20" s="675" t="s">
        <v>725</v>
      </c>
      <c r="N20" s="675"/>
      <c r="O20" s="469">
        <v>1</v>
      </c>
      <c r="P20" s="454"/>
      <c r="Q20" s="454"/>
      <c r="R20" s="454"/>
      <c r="S20" s="454"/>
      <c r="T20" s="454"/>
    </row>
    <row r="21" spans="1:20" s="302" customFormat="1" ht="72" customHeight="1" x14ac:dyDescent="0.2">
      <c r="A21" s="275">
        <v>11</v>
      </c>
      <c r="B21" s="275"/>
      <c r="C21" s="625" t="s">
        <v>293</v>
      </c>
      <c r="D21" s="275" t="s">
        <v>34</v>
      </c>
      <c r="E21" s="518" t="s">
        <v>330</v>
      </c>
      <c r="F21" s="519">
        <v>378200</v>
      </c>
      <c r="G21" s="298"/>
      <c r="H21" s="298"/>
      <c r="I21" s="675" t="s">
        <v>716</v>
      </c>
      <c r="J21" s="513"/>
      <c r="K21" s="514"/>
      <c r="L21" s="514"/>
      <c r="M21" s="675" t="s">
        <v>726</v>
      </c>
      <c r="N21" s="675"/>
      <c r="O21" s="469">
        <v>1</v>
      </c>
      <c r="P21" s="454"/>
      <c r="Q21" s="454"/>
      <c r="R21" s="454"/>
      <c r="S21" s="454"/>
      <c r="T21" s="454"/>
    </row>
    <row r="22" spans="1:20" s="302" customFormat="1" ht="63.75" customHeight="1" x14ac:dyDescent="0.2">
      <c r="A22" s="275">
        <v>12</v>
      </c>
      <c r="B22" s="275"/>
      <c r="C22" s="625" t="s">
        <v>293</v>
      </c>
      <c r="D22" s="275" t="s">
        <v>34</v>
      </c>
      <c r="E22" s="518" t="s">
        <v>331</v>
      </c>
      <c r="F22" s="519">
        <v>115000</v>
      </c>
      <c r="G22" s="298"/>
      <c r="H22" s="298"/>
      <c r="I22" s="675" t="s">
        <v>716</v>
      </c>
      <c r="J22" s="513"/>
      <c r="K22" s="514"/>
      <c r="L22" s="514"/>
      <c r="M22" s="675" t="s">
        <v>727</v>
      </c>
      <c r="N22" s="675"/>
      <c r="O22" s="469">
        <v>1</v>
      </c>
      <c r="P22" s="454"/>
      <c r="Q22" s="454"/>
      <c r="R22" s="454"/>
      <c r="S22" s="454"/>
      <c r="T22" s="454"/>
    </row>
    <row r="23" spans="1:20" s="302" customFormat="1" ht="87" x14ac:dyDescent="0.2">
      <c r="A23" s="275">
        <v>13</v>
      </c>
      <c r="B23" s="275"/>
      <c r="C23" s="625" t="s">
        <v>293</v>
      </c>
      <c r="D23" s="275" t="s">
        <v>34</v>
      </c>
      <c r="E23" s="518" t="s">
        <v>332</v>
      </c>
      <c r="F23" s="519">
        <v>231000</v>
      </c>
      <c r="G23" s="298"/>
      <c r="H23" s="298"/>
      <c r="I23" s="676" t="s">
        <v>716</v>
      </c>
      <c r="J23" s="513"/>
      <c r="K23" s="514"/>
      <c r="L23" s="514"/>
      <c r="M23" s="676" t="s">
        <v>728</v>
      </c>
      <c r="N23" s="676"/>
      <c r="O23" s="469">
        <v>1</v>
      </c>
      <c r="P23" s="454"/>
      <c r="Q23" s="454"/>
      <c r="R23" s="454"/>
      <c r="S23" s="454"/>
      <c r="T23" s="454"/>
    </row>
    <row r="24" spans="1:20" s="9" customFormat="1" x14ac:dyDescent="0.2">
      <c r="A24" s="6"/>
      <c r="B24" s="13"/>
      <c r="C24" s="13"/>
      <c r="D24" s="13"/>
      <c r="E24" s="7"/>
      <c r="F24" s="334"/>
      <c r="G24" s="11"/>
      <c r="H24" s="11"/>
      <c r="I24" s="11"/>
      <c r="J24" s="11"/>
      <c r="K24" s="10"/>
      <c r="L24" s="10"/>
      <c r="M24" s="11"/>
      <c r="N24" s="11"/>
      <c r="O24" s="445"/>
      <c r="P24" s="437"/>
      <c r="Q24" s="437"/>
      <c r="R24" s="437"/>
      <c r="S24" s="437"/>
      <c r="T24" s="437"/>
    </row>
    <row r="25" spans="1:20" s="14" customFormat="1" x14ac:dyDescent="0.5">
      <c r="A25" s="241">
        <f>+A23</f>
        <v>13</v>
      </c>
      <c r="B25" s="241"/>
      <c r="C25" s="241"/>
      <c r="D25" s="241"/>
      <c r="E25" s="242" t="s">
        <v>47</v>
      </c>
      <c r="F25" s="329">
        <f>SUM(F11:F24)</f>
        <v>50666300</v>
      </c>
      <c r="G25" s="243">
        <f>SUM(G11:G24)</f>
        <v>0</v>
      </c>
      <c r="H25" s="243">
        <f>SUM(H11:H24)</f>
        <v>0</v>
      </c>
      <c r="I25" s="243"/>
      <c r="J25" s="243">
        <f>SUM(J11:J24)</f>
        <v>0</v>
      </c>
      <c r="K25" s="243">
        <f>SUM(K11:K24)</f>
        <v>0</v>
      </c>
      <c r="L25" s="243">
        <f>SUM(L11:L24)</f>
        <v>0</v>
      </c>
      <c r="M25" s="243"/>
      <c r="N25" s="243"/>
      <c r="O25" s="463"/>
      <c r="P25" s="450">
        <f>+F25+G25</f>
        <v>50666300</v>
      </c>
      <c r="Q25" s="451"/>
      <c r="R25" s="451"/>
      <c r="S25" s="452"/>
      <c r="T25" s="452"/>
    </row>
    <row r="26" spans="1:20" s="19" customFormat="1" x14ac:dyDescent="0.2">
      <c r="A26" s="17"/>
      <c r="B26" s="17"/>
      <c r="C26" s="17"/>
      <c r="D26" s="17"/>
      <c r="E26" s="30" t="s">
        <v>10</v>
      </c>
      <c r="F26" s="336"/>
      <c r="G26" s="34"/>
      <c r="H26" s="34"/>
      <c r="I26" s="34"/>
      <c r="J26" s="34"/>
      <c r="K26" s="18"/>
      <c r="L26" s="18"/>
      <c r="M26" s="34"/>
      <c r="N26" s="34"/>
      <c r="O26" s="464"/>
      <c r="P26" s="453"/>
      <c r="Q26" s="453"/>
      <c r="R26" s="453"/>
      <c r="S26" s="453"/>
      <c r="T26" s="453"/>
    </row>
    <row r="27" spans="1:20" s="302" customFormat="1" ht="87" x14ac:dyDescent="0.2">
      <c r="A27" s="486"/>
      <c r="B27" s="486"/>
      <c r="C27" s="631" t="s">
        <v>320</v>
      </c>
      <c r="D27" s="486" t="s">
        <v>34</v>
      </c>
      <c r="E27" s="530" t="s">
        <v>226</v>
      </c>
      <c r="F27" s="531"/>
      <c r="G27" s="488"/>
      <c r="H27" s="488"/>
      <c r="I27" s="656"/>
      <c r="J27" s="513"/>
      <c r="K27" s="514"/>
      <c r="L27" s="514"/>
      <c r="M27" s="656"/>
      <c r="N27" s="656"/>
      <c r="O27" s="469"/>
      <c r="P27" s="454"/>
      <c r="Q27" s="454"/>
      <c r="R27" s="454"/>
      <c r="S27" s="454"/>
      <c r="T27" s="454"/>
    </row>
    <row r="28" spans="1:20" s="302" customFormat="1" ht="74.25" customHeight="1" x14ac:dyDescent="0.2">
      <c r="A28" s="486">
        <v>1</v>
      </c>
      <c r="B28" s="486"/>
      <c r="C28" s="631" t="s">
        <v>320</v>
      </c>
      <c r="D28" s="486" t="s">
        <v>34</v>
      </c>
      <c r="E28" s="530" t="s">
        <v>490</v>
      </c>
      <c r="F28" s="531">
        <v>30000000</v>
      </c>
      <c r="G28" s="488"/>
      <c r="H28" s="488"/>
      <c r="I28" s="656" t="s">
        <v>729</v>
      </c>
      <c r="J28" s="513"/>
      <c r="K28" s="514"/>
      <c r="L28" s="514"/>
      <c r="M28" s="656" t="s">
        <v>730</v>
      </c>
      <c r="N28" s="656"/>
      <c r="O28" s="469">
        <v>2</v>
      </c>
      <c r="P28" s="454"/>
      <c r="Q28" s="454"/>
      <c r="R28" s="454"/>
      <c r="S28" s="454"/>
      <c r="T28" s="454"/>
    </row>
    <row r="29" spans="1:20" s="302" customFormat="1" ht="93" customHeight="1" x14ac:dyDescent="0.2">
      <c r="A29" s="486">
        <v>2</v>
      </c>
      <c r="B29" s="486"/>
      <c r="C29" s="631" t="s">
        <v>320</v>
      </c>
      <c r="D29" s="486" t="s">
        <v>34</v>
      </c>
      <c r="E29" s="530" t="s">
        <v>491</v>
      </c>
      <c r="F29" s="531">
        <v>20000000</v>
      </c>
      <c r="G29" s="488"/>
      <c r="H29" s="488"/>
      <c r="I29" s="656" t="s">
        <v>729</v>
      </c>
      <c r="J29" s="513"/>
      <c r="K29" s="514"/>
      <c r="L29" s="514"/>
      <c r="M29" s="656" t="s">
        <v>731</v>
      </c>
      <c r="N29" s="656"/>
      <c r="O29" s="469">
        <v>2</v>
      </c>
      <c r="P29" s="454"/>
      <c r="Q29" s="454"/>
      <c r="R29" s="454"/>
      <c r="S29" s="454"/>
      <c r="T29" s="454"/>
    </row>
    <row r="30" spans="1:20" s="302" customFormat="1" ht="93" customHeight="1" x14ac:dyDescent="0.2">
      <c r="A30" s="486">
        <v>3</v>
      </c>
      <c r="B30" s="486"/>
      <c r="C30" s="631" t="s">
        <v>320</v>
      </c>
      <c r="D30" s="486" t="s">
        <v>34</v>
      </c>
      <c r="E30" s="530" t="s">
        <v>492</v>
      </c>
      <c r="F30" s="531">
        <v>23592000</v>
      </c>
      <c r="G30" s="488"/>
      <c r="H30" s="488"/>
      <c r="I30" s="656" t="s">
        <v>729</v>
      </c>
      <c r="J30" s="513"/>
      <c r="K30" s="514"/>
      <c r="L30" s="514"/>
      <c r="M30" s="656" t="s">
        <v>732</v>
      </c>
      <c r="N30" s="656"/>
      <c r="O30" s="469">
        <v>2</v>
      </c>
      <c r="P30" s="454"/>
      <c r="Q30" s="454"/>
      <c r="R30" s="454"/>
      <c r="S30" s="454"/>
      <c r="T30" s="454"/>
    </row>
    <row r="31" spans="1:20" s="302" customFormat="1" ht="90" customHeight="1" x14ac:dyDescent="0.2">
      <c r="A31" s="486">
        <v>4</v>
      </c>
      <c r="B31" s="486"/>
      <c r="C31" s="631" t="s">
        <v>320</v>
      </c>
      <c r="D31" s="486" t="s">
        <v>34</v>
      </c>
      <c r="E31" s="530" t="s">
        <v>493</v>
      </c>
      <c r="F31" s="531">
        <v>80000000</v>
      </c>
      <c r="G31" s="488"/>
      <c r="H31" s="678"/>
      <c r="I31" s="679" t="s">
        <v>729</v>
      </c>
      <c r="J31" s="513"/>
      <c r="K31" s="514"/>
      <c r="L31" s="514"/>
      <c r="M31" s="682" t="s">
        <v>732</v>
      </c>
      <c r="N31" s="682"/>
      <c r="O31" s="469">
        <v>2</v>
      </c>
      <c r="P31" s="454"/>
      <c r="Q31" s="454"/>
      <c r="R31" s="454"/>
      <c r="S31" s="454"/>
      <c r="T31" s="454"/>
    </row>
    <row r="32" spans="1:20" s="302" customFormat="1" ht="90" customHeight="1" x14ac:dyDescent="0.2">
      <c r="A32" s="486">
        <v>5</v>
      </c>
      <c r="B32" s="486"/>
      <c r="C32" s="631" t="s">
        <v>320</v>
      </c>
      <c r="D32" s="486" t="s">
        <v>34</v>
      </c>
      <c r="E32" s="530" t="s">
        <v>494</v>
      </c>
      <c r="F32" s="488">
        <v>39320000</v>
      </c>
      <c r="G32" s="488"/>
      <c r="H32" s="488"/>
      <c r="I32" s="656" t="s">
        <v>733</v>
      </c>
      <c r="J32" s="513"/>
      <c r="K32" s="514"/>
      <c r="L32" s="514"/>
      <c r="M32" s="656" t="s">
        <v>734</v>
      </c>
      <c r="N32" s="656"/>
      <c r="O32" s="469">
        <v>2</v>
      </c>
      <c r="P32" s="454"/>
      <c r="Q32" s="454"/>
      <c r="R32" s="454"/>
      <c r="S32" s="454"/>
      <c r="T32" s="454"/>
    </row>
    <row r="33" spans="1:47" s="302" customFormat="1" ht="91.5" customHeight="1" x14ac:dyDescent="0.2">
      <c r="A33" s="486">
        <v>6</v>
      </c>
      <c r="B33" s="486"/>
      <c r="C33" s="631" t="s">
        <v>320</v>
      </c>
      <c r="D33" s="486" t="s">
        <v>34</v>
      </c>
      <c r="E33" s="530" t="s">
        <v>495</v>
      </c>
      <c r="F33" s="531">
        <v>19660000</v>
      </c>
      <c r="G33" s="488"/>
      <c r="H33" s="673"/>
      <c r="I33" s="674" t="s">
        <v>733</v>
      </c>
      <c r="J33" s="513"/>
      <c r="K33" s="514"/>
      <c r="L33" s="514"/>
      <c r="M33" s="674" t="s">
        <v>734</v>
      </c>
      <c r="N33" s="674"/>
      <c r="O33" s="469">
        <v>2</v>
      </c>
      <c r="P33" s="468">
        <f>SUM(F34:F35)</f>
        <v>39830000</v>
      </c>
      <c r="Q33" s="454"/>
      <c r="R33" s="454"/>
      <c r="S33" s="454"/>
      <c r="T33" s="454"/>
    </row>
    <row r="34" spans="1:47" s="302" customFormat="1" ht="93.75" customHeight="1" x14ac:dyDescent="0.2">
      <c r="A34" s="486">
        <v>7</v>
      </c>
      <c r="B34" s="486"/>
      <c r="C34" s="631" t="s">
        <v>320</v>
      </c>
      <c r="D34" s="486" t="s">
        <v>34</v>
      </c>
      <c r="E34" s="530" t="s">
        <v>496</v>
      </c>
      <c r="F34" s="488">
        <v>30000000</v>
      </c>
      <c r="G34" s="488"/>
      <c r="H34" s="488"/>
      <c r="I34" s="680" t="s">
        <v>729</v>
      </c>
      <c r="J34" s="513"/>
      <c r="K34" s="514"/>
      <c r="L34" s="514"/>
      <c r="M34" s="680" t="s">
        <v>735</v>
      </c>
      <c r="N34" s="680"/>
      <c r="O34" s="469">
        <v>2</v>
      </c>
      <c r="P34" s="454"/>
      <c r="Q34" s="454"/>
      <c r="R34" s="454"/>
      <c r="S34" s="454"/>
      <c r="T34" s="454"/>
    </row>
    <row r="35" spans="1:47" s="302" customFormat="1" ht="75.75" customHeight="1" x14ac:dyDescent="0.2">
      <c r="A35" s="486">
        <v>8</v>
      </c>
      <c r="B35" s="486"/>
      <c r="C35" s="631" t="s">
        <v>320</v>
      </c>
      <c r="D35" s="486" t="s">
        <v>34</v>
      </c>
      <c r="E35" s="530" t="s">
        <v>497</v>
      </c>
      <c r="F35" s="488">
        <v>9830000</v>
      </c>
      <c r="G35" s="488"/>
      <c r="H35" s="488"/>
      <c r="I35" s="681" t="s">
        <v>733</v>
      </c>
      <c r="J35" s="513"/>
      <c r="K35" s="514"/>
      <c r="L35" s="514"/>
      <c r="M35" s="681" t="s">
        <v>736</v>
      </c>
      <c r="N35" s="681"/>
      <c r="O35" s="469">
        <v>2</v>
      </c>
      <c r="P35" s="454"/>
      <c r="Q35" s="454"/>
      <c r="R35" s="454"/>
      <c r="S35" s="454"/>
      <c r="T35" s="454"/>
    </row>
    <row r="36" spans="1:47" s="9" customFormat="1" x14ac:dyDescent="0.2">
      <c r="A36" s="6"/>
      <c r="B36" s="6"/>
      <c r="C36" s="6"/>
      <c r="D36" s="6"/>
      <c r="E36" s="7"/>
      <c r="F36" s="335"/>
      <c r="G36" s="11"/>
      <c r="H36" s="280"/>
      <c r="I36" s="280"/>
      <c r="J36" s="11"/>
      <c r="K36" s="10"/>
      <c r="L36" s="10"/>
      <c r="M36" s="280"/>
      <c r="N36" s="280"/>
      <c r="O36" s="445"/>
      <c r="P36" s="437"/>
      <c r="Q36" s="437"/>
      <c r="R36" s="437"/>
      <c r="S36" s="437"/>
      <c r="T36" s="437"/>
    </row>
    <row r="37" spans="1:47" s="19" customFormat="1" ht="22.5" thickBot="1" x14ac:dyDescent="0.55000000000000004">
      <c r="A37" s="244">
        <f>+A35</f>
        <v>8</v>
      </c>
      <c r="B37" s="244"/>
      <c r="C37" s="244"/>
      <c r="D37" s="244"/>
      <c r="E37" s="245" t="s">
        <v>33</v>
      </c>
      <c r="F37" s="330">
        <f>SUM(F27:F36)</f>
        <v>252402000</v>
      </c>
      <c r="G37" s="246">
        <f>SUM(G27:G36)</f>
        <v>0</v>
      </c>
      <c r="H37" s="246">
        <f>SUM(H27:H36)</f>
        <v>0</v>
      </c>
      <c r="I37" s="246"/>
      <c r="J37" s="246">
        <f>SUM(J27:J36)</f>
        <v>0</v>
      </c>
      <c r="K37" s="246">
        <f>SUM(K27:K36)</f>
        <v>0</v>
      </c>
      <c r="L37" s="246">
        <f>SUM(L27:L36)</f>
        <v>0</v>
      </c>
      <c r="M37" s="246"/>
      <c r="N37" s="246"/>
      <c r="O37" s="462"/>
      <c r="P37" s="455">
        <f>+F37+G37</f>
        <v>252402000</v>
      </c>
      <c r="Q37" s="451"/>
      <c r="R37" s="451"/>
      <c r="S37" s="453"/>
      <c r="T37" s="453"/>
    </row>
    <row r="38" spans="1:47" s="28" customFormat="1" ht="22.5" thickBot="1" x14ac:dyDescent="0.55000000000000004">
      <c r="A38" s="247">
        <f>+A25+A37</f>
        <v>21</v>
      </c>
      <c r="B38" s="248"/>
      <c r="C38" s="248"/>
      <c r="D38" s="248"/>
      <c r="E38" s="248" t="s">
        <v>190</v>
      </c>
      <c r="F38" s="331">
        <f>F25+F37</f>
        <v>303068300</v>
      </c>
      <c r="G38" s="310">
        <f>+G25+G37</f>
        <v>0</v>
      </c>
      <c r="H38" s="310">
        <f>+H25+H37</f>
        <v>0</v>
      </c>
      <c r="I38" s="249"/>
      <c r="J38" s="249">
        <f>J25+J37</f>
        <v>0</v>
      </c>
      <c r="K38" s="249">
        <f>K25+K37</f>
        <v>0</v>
      </c>
      <c r="L38" s="249">
        <f>L25+L37</f>
        <v>0</v>
      </c>
      <c r="M38" s="249"/>
      <c r="N38" s="249"/>
      <c r="O38" s="465"/>
      <c r="P38" s="436">
        <f>+P25+P37</f>
        <v>303068300</v>
      </c>
      <c r="Q38" s="457"/>
      <c r="R38" s="457"/>
      <c r="S38" s="434"/>
      <c r="T38" s="434"/>
      <c r="U38" s="2"/>
      <c r="V38" s="2"/>
      <c r="W38" s="2"/>
      <c r="X38" s="2"/>
      <c r="Y38" s="2"/>
      <c r="Z38" s="2"/>
      <c r="AA38" s="2"/>
      <c r="AB38" s="2"/>
    </row>
    <row r="39" spans="1:47" s="9" customFormat="1" x14ac:dyDescent="0.2">
      <c r="A39" s="15"/>
      <c r="B39" s="15"/>
      <c r="C39" s="15"/>
      <c r="D39" s="15"/>
      <c r="E39" s="31"/>
      <c r="F39" s="21"/>
      <c r="G39" s="20"/>
      <c r="H39" s="20"/>
      <c r="I39" s="20"/>
      <c r="J39" s="20"/>
      <c r="K39" s="104"/>
      <c r="L39" s="104"/>
      <c r="M39" s="20"/>
      <c r="N39" s="20"/>
      <c r="O39" s="445"/>
      <c r="P39" s="437"/>
      <c r="Q39" s="437"/>
      <c r="R39" s="437"/>
      <c r="S39" s="437"/>
      <c r="T39" s="437"/>
    </row>
    <row r="40" spans="1:47" s="9" customFormat="1" x14ac:dyDescent="0.5">
      <c r="A40" s="15"/>
      <c r="B40" s="15"/>
      <c r="C40" s="15"/>
      <c r="D40" s="15"/>
      <c r="E40" s="31"/>
      <c r="F40" s="35"/>
      <c r="G40" s="20"/>
      <c r="H40" s="20"/>
      <c r="I40" s="20"/>
      <c r="J40" s="20"/>
      <c r="K40" s="104"/>
      <c r="L40" s="104"/>
      <c r="M40" s="20"/>
      <c r="N40" s="20"/>
      <c r="O40" s="445"/>
      <c r="P40" s="437"/>
      <c r="Q40" s="437"/>
      <c r="R40" s="437"/>
      <c r="S40" s="437"/>
      <c r="T40" s="437"/>
    </row>
    <row r="42" spans="1:47" s="23" customFormat="1" x14ac:dyDescent="0.5">
      <c r="A42" s="22"/>
      <c r="B42" s="22"/>
      <c r="C42" s="22"/>
      <c r="D42" s="22"/>
      <c r="E42" s="81"/>
      <c r="F42" s="286"/>
      <c r="G42" s="125"/>
      <c r="H42" s="125"/>
      <c r="I42" s="125"/>
      <c r="J42" s="125"/>
      <c r="K42" s="190"/>
      <c r="L42" s="190"/>
      <c r="M42" s="125"/>
      <c r="N42" s="125"/>
      <c r="O42" s="441"/>
      <c r="P42" s="434"/>
      <c r="Q42" s="434"/>
      <c r="R42" s="434"/>
      <c r="S42" s="434"/>
      <c r="T42" s="43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</row>
    <row r="43" spans="1:47" s="23" customFormat="1" x14ac:dyDescent="0.5">
      <c r="A43" s="22"/>
      <c r="B43" s="22"/>
      <c r="C43" s="22"/>
      <c r="D43" s="22"/>
      <c r="F43" s="25"/>
      <c r="G43" s="107"/>
      <c r="H43" s="107"/>
      <c r="I43" s="107"/>
      <c r="J43" s="107"/>
      <c r="K43" s="190"/>
      <c r="L43" s="190"/>
      <c r="M43" s="107"/>
      <c r="N43" s="107"/>
      <c r="O43" s="441"/>
      <c r="P43" s="434"/>
      <c r="Q43" s="434"/>
      <c r="R43" s="434"/>
      <c r="S43" s="434"/>
      <c r="T43" s="43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</row>
    <row r="44" spans="1:47" s="23" customFormat="1" x14ac:dyDescent="0.5">
      <c r="A44" s="22"/>
      <c r="B44" s="22"/>
      <c r="C44" s="22"/>
      <c r="D44" s="22"/>
      <c r="F44" s="25"/>
      <c r="G44" s="107"/>
      <c r="H44" s="107"/>
      <c r="I44" s="107"/>
      <c r="J44" s="107"/>
      <c r="K44" s="190"/>
      <c r="L44" s="190"/>
      <c r="M44" s="107"/>
      <c r="N44" s="107"/>
      <c r="O44" s="441"/>
      <c r="P44" s="434"/>
      <c r="Q44" s="434"/>
      <c r="R44" s="434"/>
      <c r="S44" s="434"/>
      <c r="T44" s="43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</row>
    <row r="45" spans="1:47" s="23" customFormat="1" x14ac:dyDescent="0.5">
      <c r="A45" s="22"/>
      <c r="B45" s="22"/>
      <c r="C45" s="22"/>
      <c r="D45" s="22"/>
      <c r="F45" s="25"/>
      <c r="G45" s="107"/>
      <c r="H45" s="107"/>
      <c r="I45" s="107"/>
      <c r="J45" s="107"/>
      <c r="K45" s="190"/>
      <c r="L45" s="190"/>
      <c r="M45" s="107"/>
      <c r="N45" s="107"/>
      <c r="O45" s="441"/>
      <c r="P45" s="434"/>
      <c r="Q45" s="434"/>
      <c r="R45" s="434"/>
      <c r="S45" s="434"/>
      <c r="T45" s="43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</row>
  </sheetData>
  <autoFilter ref="O1:O45"/>
  <mergeCells count="21">
    <mergeCell ref="R5:R8"/>
    <mergeCell ref="Q5:Q8"/>
    <mergeCell ref="G6:G8"/>
    <mergeCell ref="I5:I8"/>
    <mergeCell ref="F5:H5"/>
    <mergeCell ref="H6:H8"/>
    <mergeCell ref="M5:M8"/>
    <mergeCell ref="F6:F8"/>
    <mergeCell ref="K5:K8"/>
    <mergeCell ref="L5:L8"/>
    <mergeCell ref="N5:N8"/>
    <mergeCell ref="A5:A8"/>
    <mergeCell ref="B5:B8"/>
    <mergeCell ref="A1:N1"/>
    <mergeCell ref="A2:N2"/>
    <mergeCell ref="A3:N3"/>
    <mergeCell ref="C5:C8"/>
    <mergeCell ref="D5:D8"/>
    <mergeCell ref="E5:E8"/>
    <mergeCell ref="F4:G4"/>
    <mergeCell ref="J5:J8"/>
  </mergeCells>
  <phoneticPr fontId="2" type="noConversion"/>
  <conditionalFormatting sqref="F11:F23">
    <cfRule type="cellIs" dxfId="35" priority="2" stopIfTrue="1" operator="between">
      <formula>2000001</formula>
      <formula>500000000</formula>
    </cfRule>
  </conditionalFormatting>
  <conditionalFormatting sqref="F28:F35">
    <cfRule type="cellIs" dxfId="34" priority="1" stopIfTrue="1" operator="between">
      <formula>2000001</formula>
      <formula>500000000</formula>
    </cfRule>
  </conditionalFormatting>
  <pageMargins left="0.74803149606299213" right="0.74803149606299213" top="0.35" bottom="0.41" header="0.2" footer="0.21"/>
  <pageSetup paperSize="9" scale="90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26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140625" style="3" customWidth="1"/>
    <col min="4" max="4" width="6.28515625" style="3" customWidth="1"/>
    <col min="5" max="5" width="43" style="1" customWidth="1"/>
    <col min="6" max="6" width="14.5703125" style="4" customWidth="1"/>
    <col min="7" max="7" width="13.42578125" style="106" customWidth="1"/>
    <col min="8" max="8" width="13.42578125" style="106" hidden="1" customWidth="1"/>
    <col min="9" max="9" width="31.8554687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85546875" style="106" customWidth="1"/>
    <col min="15" max="15" width="5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3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7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70"/>
      <c r="P2" s="435" t="s">
        <v>522</v>
      </c>
      <c r="Q2" s="434">
        <v>9</v>
      </c>
      <c r="R2" s="436" t="e">
        <f>SUM(#REF!)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70"/>
      <c r="P3" s="437" t="s">
        <v>523</v>
      </c>
      <c r="Q3" s="438">
        <v>1</v>
      </c>
      <c r="R3" s="439" t="e">
        <f>+#REF!</f>
        <v>#REF!</v>
      </c>
      <c r="S3" s="440" t="s">
        <v>209</v>
      </c>
      <c r="T3" s="439">
        <f>+F16</f>
        <v>0</v>
      </c>
      <c r="U3" s="1"/>
      <c r="V3" s="1"/>
      <c r="W3" s="1"/>
      <c r="X3" s="1"/>
      <c r="Y3" s="1"/>
      <c r="Z3" s="1"/>
      <c r="AA3" s="1"/>
      <c r="AB3" s="1"/>
    </row>
    <row r="4" spans="1:39" ht="21" customHeight="1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x14ac:dyDescent="0.5">
      <c r="A9" s="12"/>
      <c r="B9" s="12"/>
      <c r="C9" s="12"/>
      <c r="D9" s="12"/>
      <c r="E9" s="32" t="s">
        <v>35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87" x14ac:dyDescent="0.2">
      <c r="A11" s="486">
        <v>1</v>
      </c>
      <c r="B11" s="486"/>
      <c r="C11" s="631" t="s">
        <v>317</v>
      </c>
      <c r="D11" s="529" t="s">
        <v>35</v>
      </c>
      <c r="E11" s="530" t="s">
        <v>333</v>
      </c>
      <c r="F11" s="531">
        <v>9208700</v>
      </c>
      <c r="G11" s="488"/>
      <c r="H11" s="488"/>
      <c r="I11" s="554" t="s">
        <v>737</v>
      </c>
      <c r="J11" s="546"/>
      <c r="K11" s="547"/>
      <c r="L11" s="547"/>
      <c r="M11" s="554" t="s">
        <v>738</v>
      </c>
      <c r="N11" s="554"/>
      <c r="O11" s="464">
        <v>2</v>
      </c>
      <c r="P11" s="453"/>
      <c r="Q11" s="453"/>
      <c r="R11" s="453"/>
      <c r="S11" s="453"/>
      <c r="T11" s="453"/>
    </row>
    <row r="12" spans="1:39" s="19" customFormat="1" ht="65.25" x14ac:dyDescent="0.2">
      <c r="A12" s="275">
        <v>2</v>
      </c>
      <c r="B12" s="275"/>
      <c r="C12" s="625" t="s">
        <v>317</v>
      </c>
      <c r="D12" s="532" t="s">
        <v>35</v>
      </c>
      <c r="E12" s="518" t="s">
        <v>223</v>
      </c>
      <c r="F12" s="519">
        <v>1700000</v>
      </c>
      <c r="G12" s="298"/>
      <c r="H12" s="298"/>
      <c r="I12" s="548" t="s">
        <v>739</v>
      </c>
      <c r="J12" s="546"/>
      <c r="K12" s="547"/>
      <c r="L12" s="547"/>
      <c r="M12" s="548" t="s">
        <v>738</v>
      </c>
      <c r="N12" s="548"/>
      <c r="O12" s="464">
        <v>1</v>
      </c>
      <c r="P12" s="453"/>
      <c r="Q12" s="453"/>
      <c r="R12" s="453"/>
      <c r="S12" s="453"/>
      <c r="T12" s="453"/>
    </row>
    <row r="13" spans="1:39" s="9" customFormat="1" x14ac:dyDescent="0.2">
      <c r="A13" s="271"/>
      <c r="B13" s="271"/>
      <c r="C13" s="271"/>
      <c r="D13" s="271"/>
      <c r="E13" s="273"/>
      <c r="F13" s="328"/>
      <c r="G13" s="269"/>
      <c r="H13" s="269"/>
      <c r="I13" s="269"/>
      <c r="J13" s="11"/>
      <c r="K13" s="10"/>
      <c r="L13" s="10"/>
      <c r="M13" s="269"/>
      <c r="N13" s="269"/>
      <c r="O13" s="445"/>
      <c r="P13" s="437"/>
      <c r="Q13" s="437"/>
      <c r="R13" s="437"/>
      <c r="S13" s="437"/>
      <c r="T13" s="437"/>
    </row>
    <row r="14" spans="1:39" s="14" customFormat="1" ht="22.5" thickBot="1" x14ac:dyDescent="0.55000000000000004">
      <c r="A14" s="241">
        <f>+A12</f>
        <v>2</v>
      </c>
      <c r="B14" s="241"/>
      <c r="C14" s="241"/>
      <c r="D14" s="241"/>
      <c r="E14" s="242" t="s">
        <v>47</v>
      </c>
      <c r="F14" s="329">
        <f>SUM(F11:F13)</f>
        <v>10908700</v>
      </c>
      <c r="G14" s="243">
        <f>SUM(G11:G13)</f>
        <v>0</v>
      </c>
      <c r="H14" s="243">
        <f>SUM(H11:H13)</f>
        <v>0</v>
      </c>
      <c r="I14" s="243"/>
      <c r="J14" s="243" t="e">
        <f>SUM(#REF!)</f>
        <v>#REF!</v>
      </c>
      <c r="K14" s="243" t="e">
        <f>SUM(#REF!)</f>
        <v>#REF!</v>
      </c>
      <c r="L14" s="243" t="e">
        <f>SUM(#REF!)</f>
        <v>#REF!</v>
      </c>
      <c r="M14" s="243"/>
      <c r="N14" s="243"/>
      <c r="O14" s="463"/>
      <c r="P14" s="450">
        <f>+F14+G14</f>
        <v>10908700</v>
      </c>
      <c r="Q14" s="451"/>
      <c r="R14" s="451"/>
      <c r="S14" s="452"/>
      <c r="T14" s="452"/>
    </row>
    <row r="15" spans="1:39" s="19" customFormat="1" ht="22.5" hidden="1" thickBot="1" x14ac:dyDescent="0.25">
      <c r="A15" s="6"/>
      <c r="B15" s="6"/>
      <c r="C15" s="6"/>
      <c r="D15" s="6"/>
      <c r="E15" s="30" t="s">
        <v>10</v>
      </c>
      <c r="F15" s="336"/>
      <c r="G15" s="34"/>
      <c r="H15" s="34"/>
      <c r="I15" s="34"/>
      <c r="J15" s="34"/>
      <c r="K15" s="18"/>
      <c r="L15" s="18"/>
      <c r="M15" s="34"/>
      <c r="N15" s="34"/>
      <c r="O15" s="464"/>
      <c r="P15" s="453"/>
      <c r="Q15" s="453"/>
      <c r="R15" s="453"/>
      <c r="S15" s="453"/>
      <c r="T15" s="453"/>
    </row>
    <row r="16" spans="1:39" s="19" customFormat="1" ht="22.5" hidden="1" thickBot="1" x14ac:dyDescent="0.25">
      <c r="A16" s="6"/>
      <c r="B16" s="6"/>
      <c r="C16" s="370"/>
      <c r="D16" s="276"/>
      <c r="E16" s="272"/>
      <c r="F16" s="328"/>
      <c r="G16" s="34"/>
      <c r="H16" s="34"/>
      <c r="I16" s="34"/>
      <c r="J16" s="34"/>
      <c r="K16" s="18"/>
      <c r="L16" s="18"/>
      <c r="M16" s="34"/>
      <c r="N16" s="34"/>
      <c r="O16" s="445"/>
      <c r="P16" s="453"/>
      <c r="Q16" s="453"/>
      <c r="R16" s="453"/>
      <c r="S16" s="453"/>
      <c r="T16" s="453"/>
    </row>
    <row r="17" spans="1:47" s="9" customFormat="1" ht="24" hidden="1" customHeight="1" x14ac:dyDescent="0.2">
      <c r="A17" s="6"/>
      <c r="B17" s="6"/>
      <c r="C17" s="6"/>
      <c r="D17" s="6"/>
      <c r="E17" s="7"/>
      <c r="F17" s="335"/>
      <c r="G17" s="11"/>
      <c r="H17" s="11"/>
      <c r="I17" s="11"/>
      <c r="J17" s="11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47" s="19" customFormat="1" ht="22.5" hidden="1" thickBot="1" x14ac:dyDescent="0.55000000000000004">
      <c r="A18" s="266">
        <f>+A16</f>
        <v>0</v>
      </c>
      <c r="B18" s="266"/>
      <c r="C18" s="266"/>
      <c r="D18" s="266"/>
      <c r="E18" s="245" t="s">
        <v>33</v>
      </c>
      <c r="F18" s="330">
        <f>SUM(F16:F17)</f>
        <v>0</v>
      </c>
      <c r="G18" s="330">
        <f>SUM(G16:G17)</f>
        <v>0</v>
      </c>
      <c r="H18" s="330">
        <f>SUM(H16:H17)</f>
        <v>0</v>
      </c>
      <c r="I18" s="246"/>
      <c r="J18" s="246">
        <f>SUM(J17:J17)</f>
        <v>0</v>
      </c>
      <c r="K18" s="246">
        <f>SUM(K17:K17)</f>
        <v>0</v>
      </c>
      <c r="L18" s="246">
        <f>SUM(L17:L17)</f>
        <v>0</v>
      </c>
      <c r="M18" s="246"/>
      <c r="N18" s="246"/>
      <c r="O18" s="462"/>
      <c r="P18" s="455">
        <f>+F18+G18</f>
        <v>0</v>
      </c>
      <c r="Q18" s="451"/>
      <c r="R18" s="451"/>
      <c r="S18" s="453"/>
      <c r="T18" s="453"/>
    </row>
    <row r="19" spans="1:47" s="28" customFormat="1" ht="22.5" thickBot="1" x14ac:dyDescent="0.55000000000000004">
      <c r="A19" s="247">
        <f>+A14+A18</f>
        <v>2</v>
      </c>
      <c r="B19" s="248"/>
      <c r="C19" s="248"/>
      <c r="D19" s="248"/>
      <c r="E19" s="248" t="s">
        <v>191</v>
      </c>
      <c r="F19" s="331">
        <f>F14+F18</f>
        <v>10908700</v>
      </c>
      <c r="G19" s="310">
        <f>+G14+G18</f>
        <v>0</v>
      </c>
      <c r="H19" s="310">
        <f>+H14+H18</f>
        <v>0</v>
      </c>
      <c r="I19" s="249"/>
      <c r="J19" s="249" t="e">
        <f>J14+J18</f>
        <v>#REF!</v>
      </c>
      <c r="K19" s="249" t="e">
        <f>K14+K18</f>
        <v>#REF!</v>
      </c>
      <c r="L19" s="249" t="e">
        <f>L14+L18</f>
        <v>#REF!</v>
      </c>
      <c r="M19" s="249"/>
      <c r="N19" s="249"/>
      <c r="O19" s="465"/>
      <c r="P19" s="436">
        <f>+P14+P18</f>
        <v>10908700</v>
      </c>
      <c r="Q19" s="457"/>
      <c r="R19" s="457"/>
      <c r="S19" s="434"/>
      <c r="T19" s="434"/>
      <c r="U19" s="2"/>
      <c r="V19" s="2"/>
      <c r="W19" s="2"/>
      <c r="X19" s="2"/>
      <c r="Y19" s="2"/>
      <c r="Z19" s="2"/>
      <c r="AA19" s="2"/>
      <c r="AB19" s="2"/>
    </row>
    <row r="20" spans="1:47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1" spans="1:47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3" spans="1:47" s="23" customFormat="1" x14ac:dyDescent="0.5">
      <c r="A23" s="22"/>
      <c r="B23" s="22"/>
      <c r="C23" s="22"/>
      <c r="D23" s="22"/>
      <c r="E23" s="81"/>
      <c r="F23" s="286"/>
      <c r="G23" s="125"/>
      <c r="H23" s="125"/>
      <c r="I23" s="125"/>
      <c r="J23" s="125"/>
      <c r="K23" s="190"/>
      <c r="L23" s="190"/>
      <c r="M23" s="125"/>
      <c r="N23" s="125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F24" s="25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5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</sheetData>
  <autoFilter ref="O1:O26"/>
  <mergeCells count="21">
    <mergeCell ref="C5:C8"/>
    <mergeCell ref="K5:K8"/>
    <mergeCell ref="I5:I8"/>
    <mergeCell ref="F5:H5"/>
    <mergeCell ref="H6:H8"/>
    <mergeCell ref="A1:N1"/>
    <mergeCell ref="A2:N2"/>
    <mergeCell ref="A3:N3"/>
    <mergeCell ref="R5:R8"/>
    <mergeCell ref="L5:L8"/>
    <mergeCell ref="J5:J8"/>
    <mergeCell ref="G6:G8"/>
    <mergeCell ref="E5:E8"/>
    <mergeCell ref="F6:F8"/>
    <mergeCell ref="Q5:Q8"/>
    <mergeCell ref="N5:N8"/>
    <mergeCell ref="A5:A8"/>
    <mergeCell ref="B5:B8"/>
    <mergeCell ref="D5:D8"/>
    <mergeCell ref="M5:M8"/>
    <mergeCell ref="F4:G4"/>
  </mergeCells>
  <phoneticPr fontId="2" type="noConversion"/>
  <conditionalFormatting sqref="F16 F11:F12">
    <cfRule type="cellIs" dxfId="33" priority="2" stopIfTrue="1" operator="between">
      <formula>2000001</formula>
      <formula>500000000</formula>
    </cfRule>
  </conditionalFormatting>
  <pageMargins left="0.74803149606299213" right="0.74803149606299213" top="0.34" bottom="0.35" header="0.17" footer="0.21"/>
  <pageSetup paperSize="9" scale="85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26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7.7109375" style="3" customWidth="1"/>
    <col min="4" max="4" width="6.7109375" style="3" customWidth="1"/>
    <col min="5" max="5" width="43" style="1" customWidth="1"/>
    <col min="6" max="6" width="14.7109375" style="4" customWidth="1"/>
    <col min="7" max="7" width="12.140625" style="106" customWidth="1"/>
    <col min="8" max="8" width="12.140625" style="106" hidden="1" customWidth="1"/>
    <col min="9" max="9" width="31.57031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5703125" style="106" customWidth="1"/>
    <col min="15" max="15" width="4.85546875" style="441" customWidth="1"/>
    <col min="16" max="16" width="19.5703125" style="434" bestFit="1" customWidth="1"/>
    <col min="17" max="17" width="9.140625" style="434"/>
    <col min="18" max="18" width="13.5703125" style="434" bestFit="1" customWidth="1"/>
    <col min="19" max="19" width="9.140625" style="434"/>
    <col min="20" max="20" width="13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0"/>
      <c r="P2" s="435" t="s">
        <v>522</v>
      </c>
      <c r="Q2" s="434">
        <v>11</v>
      </c>
      <c r="R2" s="436" t="e">
        <f>+#REF!+#REF!+#REF!+#REF!+#REF!+#REF!+#REF!+#REF!+#REF!+#REF!+#REF!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0"/>
      <c r="P3" s="437" t="s">
        <v>523</v>
      </c>
      <c r="Q3" s="438">
        <v>1</v>
      </c>
      <c r="R3" s="439" t="e">
        <f>+#REF!</f>
        <v>#REF!</v>
      </c>
      <c r="S3" s="440">
        <v>1</v>
      </c>
      <c r="T3" s="439">
        <f>+F16</f>
        <v>0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x14ac:dyDescent="0.5">
      <c r="A9" s="12"/>
      <c r="B9" s="12"/>
      <c r="C9" s="12"/>
      <c r="D9" s="12"/>
      <c r="E9" s="32" t="s">
        <v>28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302" customFormat="1" ht="71.25" x14ac:dyDescent="0.2">
      <c r="A11" s="275">
        <v>1</v>
      </c>
      <c r="B11" s="275"/>
      <c r="C11" s="683" t="s">
        <v>457</v>
      </c>
      <c r="D11" s="532" t="s">
        <v>28</v>
      </c>
      <c r="E11" s="518" t="s">
        <v>222</v>
      </c>
      <c r="F11" s="519">
        <v>895500</v>
      </c>
      <c r="G11" s="298"/>
      <c r="H11" s="298"/>
      <c r="I11" s="548" t="s">
        <v>740</v>
      </c>
      <c r="J11" s="599"/>
      <c r="K11" s="514"/>
      <c r="L11" s="514"/>
      <c r="M11" s="548" t="s">
        <v>740</v>
      </c>
      <c r="N11" s="548"/>
      <c r="O11" s="469">
        <v>1</v>
      </c>
      <c r="P11" s="454"/>
      <c r="Q11" s="454"/>
      <c r="R11" s="454"/>
      <c r="S11" s="454"/>
      <c r="T11" s="454"/>
    </row>
    <row r="12" spans="1:39" s="302" customFormat="1" ht="71.25" x14ac:dyDescent="0.2">
      <c r="A12" s="275">
        <v>2</v>
      </c>
      <c r="B12" s="275"/>
      <c r="C12" s="683" t="s">
        <v>457</v>
      </c>
      <c r="D12" s="532" t="s">
        <v>28</v>
      </c>
      <c r="E12" s="518" t="s">
        <v>334</v>
      </c>
      <c r="F12" s="519">
        <v>45000</v>
      </c>
      <c r="G12" s="298"/>
      <c r="H12" s="298"/>
      <c r="I12" s="548" t="s">
        <v>741</v>
      </c>
      <c r="J12" s="599"/>
      <c r="K12" s="514"/>
      <c r="L12" s="514"/>
      <c r="M12" s="548" t="s">
        <v>741</v>
      </c>
      <c r="N12" s="548"/>
      <c r="O12" s="469">
        <v>1</v>
      </c>
      <c r="P12" s="454"/>
      <c r="Q12" s="454"/>
      <c r="R12" s="454"/>
      <c r="S12" s="454"/>
      <c r="T12" s="454"/>
    </row>
    <row r="13" spans="1:39" s="9" customFormat="1" ht="22.5" customHeight="1" x14ac:dyDescent="0.5">
      <c r="A13" s="6"/>
      <c r="B13" s="13"/>
      <c r="C13" s="13"/>
      <c r="D13" s="13"/>
      <c r="E13" s="7"/>
      <c r="F13" s="334"/>
      <c r="G13" s="11"/>
      <c r="H13" s="11"/>
      <c r="I13" s="309"/>
      <c r="J13" s="280"/>
      <c r="K13" s="10"/>
      <c r="L13" s="10"/>
      <c r="M13" s="309"/>
      <c r="N13" s="309"/>
      <c r="O13" s="445"/>
      <c r="P13" s="437"/>
      <c r="Q13" s="437"/>
      <c r="R13" s="437"/>
      <c r="S13" s="437"/>
      <c r="T13" s="437"/>
    </row>
    <row r="14" spans="1:39" s="14" customFormat="1" ht="22.5" thickBot="1" x14ac:dyDescent="0.55000000000000004">
      <c r="A14" s="241">
        <f>+A12</f>
        <v>2</v>
      </c>
      <c r="B14" s="241"/>
      <c r="C14" s="241"/>
      <c r="D14" s="241"/>
      <c r="E14" s="242" t="s">
        <v>47</v>
      </c>
      <c r="F14" s="329">
        <f>SUM(F11:F13)</f>
        <v>940500</v>
      </c>
      <c r="G14" s="243">
        <f>SUM(G13:G13)</f>
        <v>0</v>
      </c>
      <c r="H14" s="243">
        <f>SUM(H13:H13)</f>
        <v>0</v>
      </c>
      <c r="I14" s="241"/>
      <c r="J14" s="284">
        <f>SUM(J13:J13)</f>
        <v>0</v>
      </c>
      <c r="K14" s="243">
        <f>SUM(K13:K13)</f>
        <v>0</v>
      </c>
      <c r="L14" s="243">
        <f>SUM(L13:L13)</f>
        <v>0</v>
      </c>
      <c r="M14" s="241"/>
      <c r="N14" s="241"/>
      <c r="O14" s="463"/>
      <c r="P14" s="450">
        <f>+F14+G14</f>
        <v>940500</v>
      </c>
      <c r="Q14" s="451"/>
      <c r="R14" s="451"/>
      <c r="S14" s="452"/>
      <c r="T14" s="452"/>
    </row>
    <row r="15" spans="1:39" s="19" customFormat="1" ht="22.5" hidden="1" thickBot="1" x14ac:dyDescent="0.25">
      <c r="A15" s="6"/>
      <c r="B15" s="6"/>
      <c r="C15" s="6"/>
      <c r="D15" s="6"/>
      <c r="E15" s="30" t="s">
        <v>10</v>
      </c>
      <c r="F15" s="336" t="s">
        <v>198</v>
      </c>
      <c r="G15" s="34"/>
      <c r="H15" s="34"/>
      <c r="I15" s="257"/>
      <c r="J15" s="278"/>
      <c r="K15" s="18"/>
      <c r="L15" s="18"/>
      <c r="M15" s="257"/>
      <c r="N15" s="257"/>
      <c r="O15" s="464"/>
      <c r="P15" s="453"/>
      <c r="Q15" s="453"/>
      <c r="R15" s="453"/>
      <c r="S15" s="453"/>
      <c r="T15" s="453"/>
    </row>
    <row r="16" spans="1:39" s="304" customFormat="1" ht="45.75" hidden="1" customHeight="1" x14ac:dyDescent="0.2">
      <c r="A16" s="482"/>
      <c r="B16" s="482"/>
      <c r="C16" s="493"/>
      <c r="D16" s="483"/>
      <c r="E16" s="489"/>
      <c r="F16" s="494"/>
      <c r="G16" s="490"/>
      <c r="H16" s="274"/>
      <c r="I16" s="487"/>
      <c r="J16" s="306"/>
      <c r="K16" s="287"/>
      <c r="L16" s="287"/>
      <c r="M16" s="487"/>
      <c r="N16" s="487"/>
      <c r="O16" s="447"/>
      <c r="P16" s="448"/>
      <c r="Q16" s="448"/>
      <c r="R16" s="448"/>
      <c r="S16" s="448"/>
      <c r="T16" s="448"/>
    </row>
    <row r="17" spans="1:47" s="9" customFormat="1" ht="23.25" hidden="1" customHeight="1" x14ac:dyDescent="0.2">
      <c r="A17" s="6"/>
      <c r="B17" s="6"/>
      <c r="C17" s="6"/>
      <c r="D17" s="6"/>
      <c r="E17" s="7"/>
      <c r="F17" s="335"/>
      <c r="G17" s="29"/>
      <c r="H17" s="29"/>
      <c r="I17" s="11"/>
      <c r="J17" s="280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47" s="19" customFormat="1" ht="22.5" hidden="1" thickBot="1" x14ac:dyDescent="0.55000000000000004">
      <c r="A18" s="266">
        <f>+A16</f>
        <v>0</v>
      </c>
      <c r="B18" s="266"/>
      <c r="C18" s="266"/>
      <c r="D18" s="266"/>
      <c r="E18" s="245" t="s">
        <v>33</v>
      </c>
      <c r="F18" s="330">
        <f>SUM(F16:F16)</f>
        <v>0</v>
      </c>
      <c r="G18" s="246">
        <f>SUM(G16:G16)</f>
        <v>0</v>
      </c>
      <c r="H18" s="246">
        <f>SUM(H16:H16)</f>
        <v>0</v>
      </c>
      <c r="I18" s="246"/>
      <c r="J18" s="246">
        <f>SUM(J16:J16)</f>
        <v>0</v>
      </c>
      <c r="K18" s="246">
        <f>SUM(K16:K16)</f>
        <v>0</v>
      </c>
      <c r="L18" s="246">
        <f>SUM(L16:L16)</f>
        <v>0</v>
      </c>
      <c r="M18" s="246"/>
      <c r="N18" s="246"/>
      <c r="O18" s="462"/>
      <c r="P18" s="455">
        <f>+F18+G18</f>
        <v>0</v>
      </c>
      <c r="Q18" s="451"/>
      <c r="R18" s="451"/>
      <c r="S18" s="453"/>
      <c r="T18" s="453"/>
    </row>
    <row r="19" spans="1:47" s="28" customFormat="1" ht="22.5" thickBot="1" x14ac:dyDescent="0.55000000000000004">
      <c r="A19" s="247">
        <f>+A14+A18</f>
        <v>2</v>
      </c>
      <c r="B19" s="248"/>
      <c r="C19" s="248"/>
      <c r="D19" s="248"/>
      <c r="E19" s="248" t="s">
        <v>192</v>
      </c>
      <c r="F19" s="331">
        <f>F14+F18</f>
        <v>940500</v>
      </c>
      <c r="G19" s="310">
        <f>+G14+G18</f>
        <v>0</v>
      </c>
      <c r="H19" s="310">
        <f>+H14+H18</f>
        <v>0</v>
      </c>
      <c r="I19" s="249"/>
      <c r="J19" s="249">
        <f>J14+J18</f>
        <v>0</v>
      </c>
      <c r="K19" s="249">
        <f>K14+K18</f>
        <v>0</v>
      </c>
      <c r="L19" s="249">
        <f>L14+L18</f>
        <v>0</v>
      </c>
      <c r="M19" s="249"/>
      <c r="N19" s="249"/>
      <c r="O19" s="465"/>
      <c r="P19" s="436">
        <f>+P14+P18</f>
        <v>940500</v>
      </c>
      <c r="Q19" s="457"/>
      <c r="R19" s="457"/>
      <c r="S19" s="434"/>
      <c r="T19" s="434"/>
      <c r="U19" s="2"/>
      <c r="V19" s="2"/>
      <c r="W19" s="2"/>
      <c r="X19" s="2"/>
      <c r="Y19" s="2"/>
      <c r="Z19" s="2"/>
      <c r="AA19" s="2"/>
      <c r="AB19" s="2"/>
    </row>
    <row r="20" spans="1:47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1" spans="1:47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3" spans="1:47" s="23" customFormat="1" x14ac:dyDescent="0.5">
      <c r="A23" s="22"/>
      <c r="B23" s="22"/>
      <c r="C23" s="22"/>
      <c r="D23" s="22"/>
      <c r="E23" s="81"/>
      <c r="F23" s="286"/>
      <c r="G23" s="125"/>
      <c r="H23" s="125"/>
      <c r="I23" s="125"/>
      <c r="J23" s="125"/>
      <c r="K23" s="190"/>
      <c r="L23" s="190"/>
      <c r="M23" s="125"/>
      <c r="N23" s="125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F24" s="25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5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5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</sheetData>
  <autoFilter ref="O1:O26"/>
  <mergeCells count="21">
    <mergeCell ref="A1:N1"/>
    <mergeCell ref="A2:N2"/>
    <mergeCell ref="A3:N3"/>
    <mergeCell ref="E5:E8"/>
    <mergeCell ref="F6:F8"/>
    <mergeCell ref="G6:G8"/>
    <mergeCell ref="B5:B8"/>
    <mergeCell ref="N5:N8"/>
    <mergeCell ref="F4:G4"/>
    <mergeCell ref="A5:A8"/>
    <mergeCell ref="R5:R8"/>
    <mergeCell ref="C5:C8"/>
    <mergeCell ref="K5:K8"/>
    <mergeCell ref="D5:D8"/>
    <mergeCell ref="J5:J8"/>
    <mergeCell ref="Q5:Q8"/>
    <mergeCell ref="I5:I8"/>
    <mergeCell ref="F5:H5"/>
    <mergeCell ref="H6:H8"/>
    <mergeCell ref="M5:M8"/>
    <mergeCell ref="L5:L8"/>
  </mergeCells>
  <phoneticPr fontId="2" type="noConversion"/>
  <conditionalFormatting sqref="F16">
    <cfRule type="cellIs" dxfId="32" priority="11" stopIfTrue="1" operator="between">
      <formula>2000001</formula>
      <formula>500000000</formula>
    </cfRule>
  </conditionalFormatting>
  <conditionalFormatting sqref="F11">
    <cfRule type="cellIs" dxfId="31" priority="4" stopIfTrue="1" operator="between">
      <formula>2000001</formula>
      <formula>500000000</formula>
    </cfRule>
  </conditionalFormatting>
  <conditionalFormatting sqref="F12">
    <cfRule type="cellIs" dxfId="30" priority="1" stopIfTrue="1" operator="between">
      <formula>2000001</formula>
      <formula>500000000</formula>
    </cfRule>
  </conditionalFormatting>
  <pageMargins left="0.6692913385826772" right="0.74803149606299213" top="0.39370078740157483" bottom="0" header="0.51181102362204722" footer="0.19685039370078741"/>
  <pageSetup paperSize="9" scale="90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opLeftCell="A7" zoomScaleNormal="100" zoomScaleSheetLayoutView="100" workbookViewId="0">
      <selection activeCell="A12" sqref="A12:XFD12"/>
    </sheetView>
  </sheetViews>
  <sheetFormatPr defaultRowHeight="21.75" x14ac:dyDescent="0.5"/>
  <cols>
    <col min="1" max="1" width="5.85546875" style="3" customWidth="1"/>
    <col min="2" max="2" width="6.5703125" style="3" customWidth="1"/>
    <col min="3" max="3" width="6.85546875" style="3" customWidth="1"/>
    <col min="4" max="4" width="7.140625" style="3" customWidth="1"/>
    <col min="5" max="5" width="42.140625" style="1" customWidth="1"/>
    <col min="6" max="6" width="13.42578125" style="264" customWidth="1"/>
    <col min="7" max="7" width="13.140625" style="106" customWidth="1"/>
    <col min="8" max="8" width="13.140625" style="106" hidden="1" customWidth="1"/>
    <col min="9" max="9" width="27.140625" style="106" hidden="1" customWidth="1"/>
    <col min="10" max="10" width="0.140625" style="106" hidden="1" customWidth="1"/>
    <col min="11" max="11" width="0.140625" style="156" hidden="1" customWidth="1"/>
    <col min="12" max="12" width="14.28515625" style="156" hidden="1" customWidth="1"/>
    <col min="13" max="14" width="27.140625" style="106" customWidth="1"/>
    <col min="15" max="15" width="4.7109375" style="441" customWidth="1"/>
    <col min="16" max="16" width="19.5703125" style="434" bestFit="1" customWidth="1"/>
    <col min="17" max="17" width="9.140625" style="434"/>
    <col min="18" max="18" width="13.5703125" style="434" bestFit="1" customWidth="1"/>
    <col min="19" max="20" width="9.140625" style="434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7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70"/>
      <c r="P2" s="435" t="s">
        <v>522</v>
      </c>
      <c r="Q2" s="434">
        <v>7</v>
      </c>
      <c r="R2" s="436" t="e">
        <f>+#REF!+#REF!+#REF!+#REF!+#REF!+#REF!+#REF!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149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70"/>
      <c r="P3" s="437" t="s">
        <v>523</v>
      </c>
      <c r="Q3" s="438">
        <v>1</v>
      </c>
      <c r="R3" s="439" t="e">
        <f>+#REF!</f>
        <v>#REF!</v>
      </c>
      <c r="S3" s="440" t="s">
        <v>209</v>
      </c>
      <c r="T3" s="439" t="s">
        <v>209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x14ac:dyDescent="0.5">
      <c r="A9" s="12"/>
      <c r="B9" s="12"/>
      <c r="C9" s="12"/>
      <c r="D9" s="12"/>
      <c r="E9" s="32" t="s">
        <v>41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112.5" customHeight="1" x14ac:dyDescent="0.2">
      <c r="A11" s="275"/>
      <c r="B11" s="275"/>
      <c r="C11" s="625"/>
      <c r="D11" s="275"/>
      <c r="E11" s="628"/>
      <c r="F11" s="612"/>
      <c r="G11" s="298"/>
      <c r="H11" s="298"/>
      <c r="I11" s="615"/>
      <c r="J11" s="513"/>
      <c r="K11" s="514"/>
      <c r="L11" s="514"/>
      <c r="M11" s="670"/>
      <c r="N11" s="670"/>
      <c r="O11" s="464"/>
      <c r="P11" s="453"/>
      <c r="Q11" s="453"/>
      <c r="R11" s="453"/>
      <c r="S11" s="453"/>
      <c r="T11" s="453"/>
    </row>
    <row r="12" spans="1:39" s="19" customFormat="1" ht="86.25" customHeight="1" x14ac:dyDescent="0.2">
      <c r="A12" s="275"/>
      <c r="B12" s="275"/>
      <c r="C12" s="625"/>
      <c r="D12" s="275"/>
      <c r="E12" s="628"/>
      <c r="F12" s="612"/>
      <c r="G12" s="298"/>
      <c r="H12" s="298"/>
      <c r="I12" s="670"/>
      <c r="J12" s="513"/>
      <c r="K12" s="514"/>
      <c r="L12" s="514"/>
      <c r="M12" s="670"/>
      <c r="N12" s="670"/>
      <c r="O12" s="464"/>
      <c r="P12" s="453"/>
      <c r="Q12" s="453"/>
      <c r="R12" s="453"/>
      <c r="S12" s="453"/>
      <c r="T12" s="453"/>
    </row>
    <row r="13" spans="1:39" s="9" customFormat="1" x14ac:dyDescent="0.2">
      <c r="A13" s="6"/>
      <c r="B13" s="13"/>
      <c r="C13" s="13"/>
      <c r="D13" s="13"/>
      <c r="E13" s="7"/>
      <c r="F13" s="257"/>
      <c r="G13" s="11"/>
      <c r="H13" s="11"/>
      <c r="I13" s="11"/>
      <c r="J13" s="11"/>
      <c r="K13" s="10"/>
      <c r="L13" s="10"/>
      <c r="M13" s="11"/>
      <c r="N13" s="11"/>
      <c r="O13" s="445"/>
      <c r="P13" s="437"/>
      <c r="Q13" s="437"/>
      <c r="R13" s="437"/>
      <c r="S13" s="437"/>
      <c r="T13" s="437"/>
    </row>
    <row r="14" spans="1:39" s="14" customFormat="1" ht="22.5" thickBot="1" x14ac:dyDescent="0.55000000000000004">
      <c r="A14" s="241">
        <f>+A12</f>
        <v>0</v>
      </c>
      <c r="B14" s="241"/>
      <c r="C14" s="241"/>
      <c r="D14" s="241"/>
      <c r="E14" s="242" t="s">
        <v>47</v>
      </c>
      <c r="F14" s="258">
        <f>SUM(F11:F13)</f>
        <v>0</v>
      </c>
      <c r="G14" s="258">
        <f>SUM(G11:G13)</f>
        <v>0</v>
      </c>
      <c r="H14" s="258">
        <f>SUM(H11:H13)</f>
        <v>0</v>
      </c>
      <c r="I14" s="258"/>
      <c r="J14" s="258">
        <f>SUM(J13:J13)</f>
        <v>0</v>
      </c>
      <c r="K14" s="258">
        <f>SUM(K13:K13)</f>
        <v>0</v>
      </c>
      <c r="L14" s="258">
        <f>SUM(L13:L13)</f>
        <v>0</v>
      </c>
      <c r="M14" s="258"/>
      <c r="N14" s="258"/>
      <c r="O14" s="463"/>
      <c r="P14" s="450">
        <f>+F14+G14</f>
        <v>0</v>
      </c>
      <c r="Q14" s="451"/>
      <c r="R14" s="451"/>
      <c r="S14" s="452"/>
      <c r="T14" s="452"/>
    </row>
    <row r="15" spans="1:39" s="19" customFormat="1" ht="22.5" hidden="1" thickBot="1" x14ac:dyDescent="0.25">
      <c r="A15" s="17"/>
      <c r="B15" s="17"/>
      <c r="C15" s="17"/>
      <c r="D15" s="17"/>
      <c r="E15" s="30" t="s">
        <v>10</v>
      </c>
      <c r="F15" s="34"/>
      <c r="G15" s="34"/>
      <c r="H15" s="34"/>
      <c r="I15" s="34"/>
      <c r="J15" s="34"/>
      <c r="K15" s="18"/>
      <c r="L15" s="18"/>
      <c r="M15" s="34"/>
      <c r="N15" s="34"/>
      <c r="O15" s="464"/>
      <c r="P15" s="453"/>
      <c r="Q15" s="453"/>
      <c r="R15" s="453"/>
      <c r="S15" s="453"/>
      <c r="T15" s="453"/>
    </row>
    <row r="16" spans="1:39" s="9" customFormat="1" ht="22.5" hidden="1" thickBot="1" x14ac:dyDescent="0.25">
      <c r="A16" s="271"/>
      <c r="B16" s="271"/>
      <c r="C16" s="271"/>
      <c r="D16" s="271"/>
      <c r="E16" s="325"/>
      <c r="F16" s="326"/>
      <c r="G16" s="323"/>
      <c r="H16" s="323"/>
      <c r="I16" s="327"/>
      <c r="J16" s="317"/>
      <c r="K16" s="316"/>
      <c r="L16" s="316"/>
      <c r="M16" s="327"/>
      <c r="N16" s="327"/>
      <c r="O16" s="471"/>
      <c r="P16" s="437"/>
      <c r="Q16" s="437"/>
      <c r="R16" s="437"/>
      <c r="S16" s="437"/>
      <c r="T16" s="437"/>
    </row>
    <row r="17" spans="1:47" s="9" customFormat="1" ht="22.5" hidden="1" thickBot="1" x14ac:dyDescent="0.25">
      <c r="A17" s="6"/>
      <c r="B17" s="6"/>
      <c r="C17" s="6"/>
      <c r="D17" s="6"/>
      <c r="E17" s="7"/>
      <c r="F17" s="10"/>
      <c r="G17" s="29"/>
      <c r="H17" s="29"/>
      <c r="I17" s="11"/>
      <c r="J17" s="11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47" s="19" customFormat="1" ht="22.5" hidden="1" thickBot="1" x14ac:dyDescent="0.55000000000000004">
      <c r="A18" s="244">
        <f>+A16</f>
        <v>0</v>
      </c>
      <c r="B18" s="244"/>
      <c r="C18" s="244"/>
      <c r="D18" s="244"/>
      <c r="E18" s="245" t="s">
        <v>33</v>
      </c>
      <c r="F18" s="259">
        <f>SUM(F17:F17)</f>
        <v>0</v>
      </c>
      <c r="G18" s="311">
        <f>SUM(G16:G17)</f>
        <v>0</v>
      </c>
      <c r="H18" s="311">
        <f>SUM(H16:H17)</f>
        <v>0</v>
      </c>
      <c r="I18" s="259"/>
      <c r="J18" s="259">
        <f>SUM(J17:J17)</f>
        <v>0</v>
      </c>
      <c r="K18" s="259">
        <f>SUM(K17:K17)</f>
        <v>0</v>
      </c>
      <c r="L18" s="259">
        <f>SUM(L17:L17)</f>
        <v>0</v>
      </c>
      <c r="M18" s="259"/>
      <c r="N18" s="259"/>
      <c r="O18" s="462"/>
      <c r="P18" s="455">
        <f>+F18+G18</f>
        <v>0</v>
      </c>
      <c r="Q18" s="451"/>
      <c r="R18" s="451"/>
      <c r="S18" s="453"/>
      <c r="T18" s="453"/>
    </row>
    <row r="19" spans="1:47" s="28" customFormat="1" ht="22.5" thickBot="1" x14ac:dyDescent="0.55000000000000004">
      <c r="A19" s="247">
        <f>+A14+A18</f>
        <v>0</v>
      </c>
      <c r="B19" s="248"/>
      <c r="C19" s="248"/>
      <c r="D19" s="248"/>
      <c r="E19" s="248" t="s">
        <v>166</v>
      </c>
      <c r="F19" s="260">
        <f>F14+F18</f>
        <v>0</v>
      </c>
      <c r="G19" s="312">
        <f>+G14+G18</f>
        <v>0</v>
      </c>
      <c r="H19" s="312">
        <f>+H14+H18</f>
        <v>0</v>
      </c>
      <c r="I19" s="249"/>
      <c r="J19" s="249">
        <f>J14+J18</f>
        <v>0</v>
      </c>
      <c r="K19" s="249">
        <f>K14+K18</f>
        <v>0</v>
      </c>
      <c r="L19" s="249">
        <f>L14+L18</f>
        <v>0</v>
      </c>
      <c r="M19" s="249"/>
      <c r="N19" s="249"/>
      <c r="O19" s="465"/>
      <c r="P19" s="436">
        <f>+P14+P18</f>
        <v>0</v>
      </c>
      <c r="Q19" s="457"/>
      <c r="R19" s="457"/>
      <c r="S19" s="434"/>
      <c r="T19" s="434"/>
      <c r="U19" s="2"/>
      <c r="V19" s="2"/>
      <c r="W19" s="2"/>
      <c r="X19" s="2"/>
      <c r="Y19" s="2"/>
      <c r="Z19" s="2"/>
      <c r="AA19" s="2"/>
      <c r="AB19" s="2"/>
    </row>
    <row r="20" spans="1:47" s="9" customFormat="1" x14ac:dyDescent="0.2">
      <c r="A20" s="15"/>
      <c r="B20" s="15"/>
      <c r="C20" s="15"/>
      <c r="D20" s="15"/>
      <c r="E20" s="31"/>
      <c r="F20" s="104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1" spans="1:47" s="9" customFormat="1" x14ac:dyDescent="0.5">
      <c r="A21" s="15"/>
      <c r="B21" s="15"/>
      <c r="C21" s="15"/>
      <c r="D21" s="15"/>
      <c r="E21" s="31"/>
      <c r="F21" s="261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3" spans="1:47" s="23" customFormat="1" x14ac:dyDescent="0.5">
      <c r="A23" s="22"/>
      <c r="B23" s="22"/>
      <c r="C23" s="22"/>
      <c r="D23" s="22"/>
      <c r="E23" s="81"/>
      <c r="F23" s="277"/>
      <c r="G23" s="125"/>
      <c r="H23" s="125"/>
      <c r="I23" s="125"/>
      <c r="J23" s="125"/>
      <c r="K23" s="190"/>
      <c r="L23" s="190"/>
      <c r="M23" s="125"/>
      <c r="N23" s="125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F24" s="263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63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</sheetData>
  <autoFilter ref="O1:O26"/>
  <mergeCells count="21">
    <mergeCell ref="A1:N1"/>
    <mergeCell ref="A2:N2"/>
    <mergeCell ref="A3:N3"/>
    <mergeCell ref="J5:J8"/>
    <mergeCell ref="B5:B8"/>
    <mergeCell ref="D5:D8"/>
    <mergeCell ref="E5:E8"/>
    <mergeCell ref="N5:N8"/>
    <mergeCell ref="A5:A8"/>
    <mergeCell ref="R5:R8"/>
    <mergeCell ref="F6:F8"/>
    <mergeCell ref="G6:G8"/>
    <mergeCell ref="C5:C8"/>
    <mergeCell ref="F4:G4"/>
    <mergeCell ref="Q5:Q8"/>
    <mergeCell ref="I5:I8"/>
    <mergeCell ref="F5:H5"/>
    <mergeCell ref="H6:H8"/>
    <mergeCell ref="M5:M8"/>
    <mergeCell ref="K5:K8"/>
    <mergeCell ref="L5:L8"/>
  </mergeCells>
  <conditionalFormatting sqref="F11:F12">
    <cfRule type="cellIs" dxfId="29" priority="1" stopIfTrue="1" operator="between">
      <formula>2000001</formula>
      <formula>500000000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blackAndWhite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V63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140625" style="3" customWidth="1"/>
    <col min="5" max="5" width="43.140625" style="1" customWidth="1"/>
    <col min="6" max="6" width="16" style="264" customWidth="1"/>
    <col min="7" max="7" width="13.42578125" style="106" customWidth="1"/>
    <col min="8" max="8" width="13.42578125" style="106" hidden="1" customWidth="1"/>
    <col min="9" max="9" width="28.85546875" style="106" hidden="1" customWidth="1"/>
    <col min="10" max="10" width="0.140625" style="106" hidden="1" customWidth="1"/>
    <col min="11" max="11" width="12.28515625" style="156" hidden="1" customWidth="1"/>
    <col min="12" max="12" width="12.5703125" style="156" hidden="1" customWidth="1"/>
    <col min="13" max="14" width="28.85546875" style="106" customWidth="1"/>
    <col min="15" max="15" width="6.140625" style="441" customWidth="1"/>
    <col min="16" max="16" width="19.85546875" style="441" customWidth="1"/>
    <col min="17" max="17" width="16" style="434" bestFit="1" customWidth="1"/>
    <col min="18" max="18" width="12.42578125" style="434" bestFit="1" customWidth="1"/>
    <col min="19" max="19" width="16" style="434" bestFit="1" customWidth="1"/>
    <col min="20" max="20" width="9.140625" style="2"/>
    <col min="21" max="21" width="14.5703125" style="2" bestFit="1" customWidth="1"/>
    <col min="22" max="29" width="9.140625" style="2"/>
    <col min="30" max="16384" width="9.140625" style="1"/>
  </cols>
  <sheetData>
    <row r="1" spans="1:40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70"/>
      <c r="P1" s="470"/>
      <c r="S1" s="434" t="s">
        <v>524</v>
      </c>
      <c r="U1" s="2" t="s">
        <v>202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70"/>
      <c r="P2" s="470"/>
      <c r="Q2" s="435" t="s">
        <v>522</v>
      </c>
      <c r="R2" s="434">
        <v>29</v>
      </c>
      <c r="S2" s="436" t="e">
        <f>+#REF!+#REF!+#REF!+#REF!+#REF!+#REF!+#REF!+#REF!+#REF!+#REF!+#REF!+#REF!+#REF!+#REF!+#REF!+#REF!+#REF!+#REF!+#REF!+#REF!+#REF!+#REF!+#REF!+#REF!+#REF!+#REF!+#REF!+#REF!+#REF!</f>
        <v>#REF!</v>
      </c>
      <c r="T2" s="432">
        <v>3</v>
      </c>
      <c r="U2" s="146" t="e">
        <f>+#REF!+#REF!+#REF!</f>
        <v>#REF!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70"/>
      <c r="P3" s="470"/>
      <c r="Q3" s="437" t="s">
        <v>523</v>
      </c>
      <c r="R3" s="438">
        <v>8</v>
      </c>
      <c r="S3" s="439" t="e">
        <f>+#REF!+#REF!+#REF!+#REF!+#REF!+#REF!+#REF!+#REF!</f>
        <v>#REF!</v>
      </c>
      <c r="T3" s="431">
        <v>5</v>
      </c>
      <c r="U3" s="430" t="e">
        <f>+#REF!+#REF!+#REF!+#REF!+#REF!</f>
        <v>#REF!</v>
      </c>
      <c r="V3" s="1"/>
      <c r="W3" s="1"/>
      <c r="X3" s="1"/>
      <c r="Y3" s="1"/>
      <c r="Z3" s="1"/>
      <c r="AA3" s="1"/>
      <c r="AB3" s="1"/>
      <c r="AC3" s="1"/>
    </row>
    <row r="4" spans="1:40" ht="18" customHeight="1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Q4" s="434" t="s">
        <v>525</v>
      </c>
      <c r="R4" s="442">
        <v>2</v>
      </c>
      <c r="S4" s="461" t="e">
        <f>+#REF!+#REF!</f>
        <v>#REF!</v>
      </c>
      <c r="T4" s="2">
        <v>1</v>
      </c>
      <c r="U4" s="146" t="e">
        <f>+#REF!</f>
        <v>#REF!</v>
      </c>
    </row>
    <row r="5" spans="1:40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95" t="s">
        <v>26</v>
      </c>
      <c r="G5" s="796"/>
      <c r="H5" s="797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P5" s="462"/>
      <c r="R5" s="788" t="s">
        <v>142</v>
      </c>
      <c r="S5" s="788" t="s">
        <v>150</v>
      </c>
    </row>
    <row r="6" spans="1:40" ht="21" customHeight="1" x14ac:dyDescent="0.5">
      <c r="A6" s="771"/>
      <c r="B6" s="771"/>
      <c r="C6" s="771"/>
      <c r="D6" s="771"/>
      <c r="E6" s="771"/>
      <c r="F6" s="793" t="s">
        <v>46</v>
      </c>
      <c r="G6" s="777" t="s">
        <v>103</v>
      </c>
      <c r="H6" s="776" t="s">
        <v>150</v>
      </c>
      <c r="I6" s="768"/>
      <c r="J6" s="768"/>
      <c r="K6" s="768"/>
      <c r="L6" s="777"/>
      <c r="M6" s="785"/>
      <c r="N6" s="785"/>
      <c r="O6" s="462"/>
      <c r="P6" s="462"/>
      <c r="R6" s="788"/>
      <c r="S6" s="788"/>
    </row>
    <row r="7" spans="1:40" ht="21" customHeight="1" x14ac:dyDescent="0.5">
      <c r="A7" s="771"/>
      <c r="B7" s="771"/>
      <c r="C7" s="771"/>
      <c r="D7" s="771"/>
      <c r="E7" s="771"/>
      <c r="F7" s="793"/>
      <c r="G7" s="777"/>
      <c r="H7" s="777"/>
      <c r="I7" s="768"/>
      <c r="J7" s="768"/>
      <c r="K7" s="768"/>
      <c r="L7" s="777"/>
      <c r="M7" s="785"/>
      <c r="N7" s="785"/>
      <c r="O7" s="462"/>
      <c r="P7" s="462"/>
      <c r="R7" s="788"/>
      <c r="S7" s="788"/>
    </row>
    <row r="8" spans="1:40" ht="18" customHeight="1" x14ac:dyDescent="0.5">
      <c r="A8" s="771"/>
      <c r="B8" s="771"/>
      <c r="C8" s="780"/>
      <c r="D8" s="771"/>
      <c r="E8" s="771"/>
      <c r="F8" s="794"/>
      <c r="G8" s="792"/>
      <c r="H8" s="792"/>
      <c r="I8" s="769"/>
      <c r="J8" s="769"/>
      <c r="K8" s="769"/>
      <c r="L8" s="777"/>
      <c r="M8" s="786"/>
      <c r="N8" s="786"/>
      <c r="O8" s="462"/>
      <c r="P8" s="462"/>
      <c r="R8" s="788"/>
      <c r="S8" s="788"/>
    </row>
    <row r="9" spans="1:40" ht="18" customHeight="1" x14ac:dyDescent="0.5">
      <c r="A9" s="12"/>
      <c r="B9" s="12"/>
      <c r="C9" s="12"/>
      <c r="D9" s="12"/>
      <c r="E9" s="32" t="s">
        <v>4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40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45"/>
      <c r="Q10" s="437"/>
      <c r="R10" s="437"/>
      <c r="S10" s="437"/>
    </row>
    <row r="11" spans="1:40" s="302" customFormat="1" ht="152.25" x14ac:dyDescent="0.2">
      <c r="A11" s="275">
        <v>1</v>
      </c>
      <c r="B11" s="275"/>
      <c r="C11" s="625" t="s">
        <v>293</v>
      </c>
      <c r="D11" s="275"/>
      <c r="E11" s="518" t="s">
        <v>213</v>
      </c>
      <c r="F11" s="519">
        <v>810500</v>
      </c>
      <c r="G11" s="298"/>
      <c r="H11" s="298"/>
      <c r="I11" s="513"/>
      <c r="J11" s="513"/>
      <c r="K11" s="514"/>
      <c r="L11" s="514"/>
      <c r="M11" s="548" t="s">
        <v>742</v>
      </c>
      <c r="N11" s="548"/>
      <c r="O11" s="469">
        <v>1</v>
      </c>
      <c r="P11" s="469"/>
      <c r="Q11" s="454"/>
      <c r="R11" s="454"/>
      <c r="S11" s="454"/>
    </row>
    <row r="12" spans="1:40" s="302" customFormat="1" ht="152.25" x14ac:dyDescent="0.2">
      <c r="A12" s="275">
        <v>2</v>
      </c>
      <c r="B12" s="275"/>
      <c r="C12" s="625" t="s">
        <v>293</v>
      </c>
      <c r="D12" s="275"/>
      <c r="E12" s="518" t="s">
        <v>214</v>
      </c>
      <c r="F12" s="519">
        <v>1900000</v>
      </c>
      <c r="G12" s="298"/>
      <c r="H12" s="298"/>
      <c r="I12" s="513"/>
      <c r="J12" s="513"/>
      <c r="K12" s="514"/>
      <c r="L12" s="514"/>
      <c r="M12" s="548" t="s">
        <v>743</v>
      </c>
      <c r="N12" s="548"/>
      <c r="O12" s="469">
        <v>1</v>
      </c>
      <c r="P12" s="469"/>
      <c r="Q12" s="454"/>
      <c r="R12" s="454"/>
      <c r="S12" s="454"/>
    </row>
    <row r="13" spans="1:40" s="302" customFormat="1" ht="87" x14ac:dyDescent="0.2">
      <c r="A13" s="275">
        <v>3</v>
      </c>
      <c r="B13" s="275"/>
      <c r="C13" s="625" t="s">
        <v>293</v>
      </c>
      <c r="D13" s="275"/>
      <c r="E13" s="518" t="s">
        <v>216</v>
      </c>
      <c r="F13" s="298">
        <v>750000</v>
      </c>
      <c r="G13" s="298"/>
      <c r="H13" s="298"/>
      <c r="I13" s="513"/>
      <c r="J13" s="513"/>
      <c r="K13" s="514"/>
      <c r="L13" s="514"/>
      <c r="M13" s="548" t="s">
        <v>744</v>
      </c>
      <c r="N13" s="548"/>
      <c r="O13" s="469">
        <v>1</v>
      </c>
      <c r="P13" s="469"/>
      <c r="Q13" s="454"/>
      <c r="R13" s="454"/>
      <c r="S13" s="454"/>
    </row>
    <row r="14" spans="1:40" s="302" customFormat="1" ht="87" x14ac:dyDescent="0.2">
      <c r="A14" s="486">
        <v>4</v>
      </c>
      <c r="B14" s="486"/>
      <c r="C14" s="631" t="s">
        <v>293</v>
      </c>
      <c r="D14" s="486"/>
      <c r="E14" s="530" t="s">
        <v>215</v>
      </c>
      <c r="F14" s="531">
        <v>2000000</v>
      </c>
      <c r="G14" s="488"/>
      <c r="H14" s="488"/>
      <c r="I14" s="598"/>
      <c r="J14" s="598"/>
      <c r="K14" s="746"/>
      <c r="L14" s="746"/>
      <c r="M14" s="554" t="s">
        <v>745</v>
      </c>
      <c r="N14" s="554"/>
      <c r="O14" s="469">
        <v>1</v>
      </c>
      <c r="P14" s="469"/>
      <c r="Q14" s="454"/>
      <c r="R14" s="454"/>
      <c r="S14" s="454"/>
    </row>
    <row r="15" spans="1:40" s="302" customFormat="1" ht="45" x14ac:dyDescent="0.2">
      <c r="A15" s="275">
        <v>5</v>
      </c>
      <c r="B15" s="275"/>
      <c r="C15" s="625" t="s">
        <v>360</v>
      </c>
      <c r="D15" s="275"/>
      <c r="E15" s="518" t="s">
        <v>217</v>
      </c>
      <c r="F15" s="519">
        <v>73400</v>
      </c>
      <c r="G15" s="298"/>
      <c r="H15" s="298"/>
      <c r="I15" s="513"/>
      <c r="J15" s="513"/>
      <c r="K15" s="514"/>
      <c r="L15" s="514"/>
      <c r="M15" s="514" t="s">
        <v>746</v>
      </c>
      <c r="N15" s="514"/>
      <c r="O15" s="469">
        <v>1</v>
      </c>
      <c r="P15" s="469"/>
      <c r="Q15" s="454"/>
      <c r="R15" s="454"/>
      <c r="S15" s="454"/>
    </row>
    <row r="16" spans="1:40" s="302" customFormat="1" ht="152.25" x14ac:dyDescent="0.2">
      <c r="A16" s="275">
        <v>6</v>
      </c>
      <c r="B16" s="275"/>
      <c r="C16" s="684" t="s">
        <v>206</v>
      </c>
      <c r="D16" s="275"/>
      <c r="E16" s="518" t="s">
        <v>212</v>
      </c>
      <c r="F16" s="519">
        <v>1294000</v>
      </c>
      <c r="G16" s="298"/>
      <c r="H16" s="298"/>
      <c r="I16" s="513" t="str">
        <f>+[3]สกบ.!$I$18</f>
        <v>-</v>
      </c>
      <c r="J16" s="513"/>
      <c r="K16" s="514"/>
      <c r="L16" s="514"/>
      <c r="M16" s="548" t="s">
        <v>747</v>
      </c>
      <c r="N16" s="548"/>
      <c r="O16" s="469">
        <v>1</v>
      </c>
      <c r="P16" s="469"/>
      <c r="Q16" s="454"/>
      <c r="R16" s="454"/>
      <c r="S16" s="454"/>
    </row>
    <row r="17" spans="1:19" s="302" customFormat="1" ht="65.25" x14ac:dyDescent="0.2">
      <c r="A17" s="486">
        <v>7</v>
      </c>
      <c r="B17" s="486"/>
      <c r="C17" s="631" t="s">
        <v>317</v>
      </c>
      <c r="D17" s="486" t="s">
        <v>4</v>
      </c>
      <c r="E17" s="630" t="s">
        <v>477</v>
      </c>
      <c r="F17" s="602">
        <v>110740000</v>
      </c>
      <c r="G17" s="488"/>
      <c r="H17" s="488"/>
      <c r="I17" s="598"/>
      <c r="J17" s="513"/>
      <c r="K17" s="514"/>
      <c r="L17" s="514"/>
      <c r="M17" s="554" t="s">
        <v>748</v>
      </c>
      <c r="N17" s="554"/>
      <c r="O17" s="469">
        <v>2</v>
      </c>
      <c r="P17" s="469"/>
      <c r="Q17" s="454"/>
      <c r="R17" s="454"/>
      <c r="S17" s="454"/>
    </row>
    <row r="18" spans="1:19" s="302" customFormat="1" ht="195.75" x14ac:dyDescent="0.2">
      <c r="A18" s="638">
        <v>8</v>
      </c>
      <c r="B18" s="638" t="s">
        <v>526</v>
      </c>
      <c r="C18" s="638" t="s">
        <v>410</v>
      </c>
      <c r="D18" s="638" t="s">
        <v>16</v>
      </c>
      <c r="E18" s="710" t="s">
        <v>413</v>
      </c>
      <c r="F18" s="711">
        <v>560000000</v>
      </c>
      <c r="G18" s="642"/>
      <c r="H18" s="642"/>
      <c r="I18" s="712"/>
      <c r="J18" s="712"/>
      <c r="K18" s="713"/>
      <c r="L18" s="713"/>
      <c r="M18" s="644" t="s">
        <v>749</v>
      </c>
      <c r="N18" s="644"/>
      <c r="O18" s="469">
        <v>3</v>
      </c>
      <c r="P18" s="454" t="s">
        <v>528</v>
      </c>
      <c r="Q18" s="454"/>
      <c r="R18" s="454"/>
      <c r="S18" s="454"/>
    </row>
    <row r="19" spans="1:19" s="302" customFormat="1" ht="75" x14ac:dyDescent="0.2">
      <c r="A19" s="275"/>
      <c r="B19" s="275"/>
      <c r="C19" s="532" t="s">
        <v>303</v>
      </c>
      <c r="D19" s="275" t="s">
        <v>14</v>
      </c>
      <c r="E19" s="518" t="s">
        <v>335</v>
      </c>
      <c r="F19" s="519"/>
      <c r="G19" s="298"/>
      <c r="H19" s="298"/>
      <c r="I19" s="513"/>
      <c r="J19" s="513"/>
      <c r="K19" s="514"/>
      <c r="L19" s="514"/>
      <c r="M19" s="548"/>
      <c r="N19" s="548"/>
      <c r="O19" s="469"/>
      <c r="P19" s="454" t="s">
        <v>529</v>
      </c>
      <c r="Q19" s="454"/>
      <c r="R19" s="454"/>
      <c r="S19" s="454"/>
    </row>
    <row r="20" spans="1:19" s="302" customFormat="1" ht="174" x14ac:dyDescent="0.2">
      <c r="A20" s="486">
        <v>9</v>
      </c>
      <c r="B20" s="486" t="s">
        <v>14</v>
      </c>
      <c r="C20" s="529" t="s">
        <v>303</v>
      </c>
      <c r="D20" s="486" t="s">
        <v>14</v>
      </c>
      <c r="E20" s="530" t="s">
        <v>336</v>
      </c>
      <c r="F20" s="531">
        <v>3325000</v>
      </c>
      <c r="G20" s="488"/>
      <c r="H20" s="488"/>
      <c r="I20" s="581"/>
      <c r="J20" s="513"/>
      <c r="K20" s="514"/>
      <c r="L20" s="514"/>
      <c r="M20" s="581" t="s">
        <v>750</v>
      </c>
      <c r="N20" s="581"/>
      <c r="O20" s="469">
        <v>2</v>
      </c>
      <c r="P20" s="454" t="s">
        <v>531</v>
      </c>
      <c r="Q20" s="454"/>
      <c r="R20" s="454"/>
      <c r="S20" s="454"/>
    </row>
    <row r="21" spans="1:19" s="302" customFormat="1" ht="311.25" customHeight="1" x14ac:dyDescent="0.2">
      <c r="A21" s="486">
        <v>10</v>
      </c>
      <c r="B21" s="486" t="s">
        <v>14</v>
      </c>
      <c r="C21" s="529" t="s">
        <v>303</v>
      </c>
      <c r="D21" s="486" t="s">
        <v>14</v>
      </c>
      <c r="E21" s="530" t="s">
        <v>337</v>
      </c>
      <c r="F21" s="531">
        <v>12000000</v>
      </c>
      <c r="G21" s="488"/>
      <c r="H21" s="488"/>
      <c r="I21" s="581"/>
      <c r="J21" s="513"/>
      <c r="K21" s="514"/>
      <c r="L21" s="514"/>
      <c r="M21" s="661" t="s">
        <v>751</v>
      </c>
      <c r="N21" s="661"/>
      <c r="O21" s="469">
        <v>2</v>
      </c>
      <c r="P21" s="454" t="s">
        <v>531</v>
      </c>
      <c r="Q21" s="454"/>
      <c r="R21" s="454"/>
      <c r="S21" s="454"/>
    </row>
    <row r="22" spans="1:19" s="302" customFormat="1" ht="309.75" customHeight="1" x14ac:dyDescent="0.2">
      <c r="A22" s="486">
        <v>11</v>
      </c>
      <c r="B22" s="486" t="s">
        <v>14</v>
      </c>
      <c r="C22" s="529" t="s">
        <v>303</v>
      </c>
      <c r="D22" s="486" t="s">
        <v>14</v>
      </c>
      <c r="E22" s="530" t="s">
        <v>338</v>
      </c>
      <c r="F22" s="531">
        <v>8500000</v>
      </c>
      <c r="G22" s="488"/>
      <c r="H22" s="488"/>
      <c r="I22" s="581"/>
      <c r="J22" s="513"/>
      <c r="K22" s="514"/>
      <c r="L22" s="514"/>
      <c r="M22" s="661" t="s">
        <v>752</v>
      </c>
      <c r="N22" s="661"/>
      <c r="O22" s="469">
        <v>2</v>
      </c>
      <c r="P22" s="454" t="s">
        <v>531</v>
      </c>
      <c r="Q22" s="454"/>
      <c r="R22" s="454"/>
      <c r="S22" s="454"/>
    </row>
    <row r="23" spans="1:19" s="302" customFormat="1" ht="317.25" customHeight="1" x14ac:dyDescent="0.2">
      <c r="A23" s="486">
        <v>12</v>
      </c>
      <c r="B23" s="486" t="s">
        <v>14</v>
      </c>
      <c r="C23" s="529" t="s">
        <v>303</v>
      </c>
      <c r="D23" s="486" t="s">
        <v>14</v>
      </c>
      <c r="E23" s="530" t="s">
        <v>339</v>
      </c>
      <c r="F23" s="531">
        <v>11000000</v>
      </c>
      <c r="G23" s="488"/>
      <c r="H23" s="488"/>
      <c r="I23" s="581"/>
      <c r="J23" s="513"/>
      <c r="K23" s="514"/>
      <c r="L23" s="514"/>
      <c r="M23" s="685" t="s">
        <v>753</v>
      </c>
      <c r="N23" s="685"/>
      <c r="O23" s="469">
        <v>2</v>
      </c>
      <c r="P23" s="454" t="s">
        <v>531</v>
      </c>
      <c r="Q23" s="454"/>
      <c r="R23" s="454"/>
      <c r="S23" s="454"/>
    </row>
    <row r="24" spans="1:19" s="302" customFormat="1" ht="195.75" x14ac:dyDescent="0.2">
      <c r="A24" s="275">
        <v>13</v>
      </c>
      <c r="B24" s="275" t="s">
        <v>14</v>
      </c>
      <c r="C24" s="532" t="s">
        <v>303</v>
      </c>
      <c r="D24" s="275" t="s">
        <v>14</v>
      </c>
      <c r="E24" s="518" t="s">
        <v>340</v>
      </c>
      <c r="F24" s="519">
        <v>1810000</v>
      </c>
      <c r="G24" s="298"/>
      <c r="H24" s="298"/>
      <c r="I24" s="551"/>
      <c r="J24" s="513"/>
      <c r="K24" s="514"/>
      <c r="L24" s="514"/>
      <c r="M24" s="551" t="s">
        <v>754</v>
      </c>
      <c r="N24" s="551"/>
      <c r="O24" s="469">
        <v>1</v>
      </c>
      <c r="P24" s="454" t="s">
        <v>531</v>
      </c>
      <c r="Q24" s="454"/>
      <c r="R24" s="454"/>
      <c r="S24" s="454"/>
    </row>
    <row r="25" spans="1:19" s="302" customFormat="1" ht="130.5" x14ac:dyDescent="0.2">
      <c r="A25" s="486">
        <v>14</v>
      </c>
      <c r="B25" s="486" t="s">
        <v>14</v>
      </c>
      <c r="C25" s="529" t="s">
        <v>303</v>
      </c>
      <c r="D25" s="486" t="s">
        <v>14</v>
      </c>
      <c r="E25" s="530" t="s">
        <v>341</v>
      </c>
      <c r="F25" s="531">
        <v>2375000</v>
      </c>
      <c r="G25" s="488"/>
      <c r="H25" s="298"/>
      <c r="I25" s="581"/>
      <c r="J25" s="513"/>
      <c r="K25" s="514"/>
      <c r="L25" s="514"/>
      <c r="M25" s="581" t="s">
        <v>755</v>
      </c>
      <c r="N25" s="581"/>
      <c r="O25" s="469">
        <v>2</v>
      </c>
      <c r="P25" s="454" t="s">
        <v>531</v>
      </c>
      <c r="Q25" s="454"/>
      <c r="R25" s="454"/>
      <c r="S25" s="454"/>
    </row>
    <row r="26" spans="1:19" s="302" customFormat="1" ht="176.25" customHeight="1" x14ac:dyDescent="0.2">
      <c r="A26" s="275">
        <v>15</v>
      </c>
      <c r="B26" s="275"/>
      <c r="C26" s="532" t="s">
        <v>301</v>
      </c>
      <c r="D26" s="275" t="s">
        <v>13</v>
      </c>
      <c r="E26" s="518" t="s">
        <v>346</v>
      </c>
      <c r="F26" s="298">
        <v>68000</v>
      </c>
      <c r="G26" s="298"/>
      <c r="H26" s="298"/>
      <c r="I26" s="551"/>
      <c r="J26" s="513"/>
      <c r="K26" s="514"/>
      <c r="L26" s="514"/>
      <c r="M26" s="551" t="s">
        <v>756</v>
      </c>
      <c r="N26" s="551"/>
      <c r="O26" s="469">
        <v>1</v>
      </c>
      <c r="P26" s="454" t="s">
        <v>530</v>
      </c>
      <c r="Q26" s="454"/>
      <c r="R26" s="454"/>
      <c r="S26" s="454"/>
    </row>
    <row r="27" spans="1:19" s="302" customFormat="1" ht="152.25" x14ac:dyDescent="0.2">
      <c r="A27" s="275">
        <v>16</v>
      </c>
      <c r="B27" s="275"/>
      <c r="C27" s="532" t="s">
        <v>301</v>
      </c>
      <c r="D27" s="275" t="s">
        <v>13</v>
      </c>
      <c r="E27" s="518" t="s">
        <v>347</v>
      </c>
      <c r="F27" s="298">
        <v>720000</v>
      </c>
      <c r="G27" s="298"/>
      <c r="H27" s="298"/>
      <c r="I27" s="551"/>
      <c r="J27" s="513"/>
      <c r="K27" s="514"/>
      <c r="L27" s="514"/>
      <c r="M27" s="551" t="s">
        <v>757</v>
      </c>
      <c r="N27" s="551"/>
      <c r="O27" s="469">
        <v>1</v>
      </c>
      <c r="P27" s="454" t="s">
        <v>530</v>
      </c>
      <c r="Q27" s="454"/>
      <c r="R27" s="454"/>
      <c r="S27" s="454"/>
    </row>
    <row r="28" spans="1:19" s="302" customFormat="1" ht="174" x14ac:dyDescent="0.2">
      <c r="A28" s="275">
        <v>17</v>
      </c>
      <c r="B28" s="275"/>
      <c r="C28" s="532" t="s">
        <v>301</v>
      </c>
      <c r="D28" s="275" t="s">
        <v>13</v>
      </c>
      <c r="E28" s="518" t="s">
        <v>348</v>
      </c>
      <c r="F28" s="298">
        <v>478500</v>
      </c>
      <c r="G28" s="298"/>
      <c r="H28" s="298"/>
      <c r="I28" s="551"/>
      <c r="J28" s="513"/>
      <c r="K28" s="514"/>
      <c r="L28" s="514"/>
      <c r="M28" s="551" t="s">
        <v>758</v>
      </c>
      <c r="N28" s="551"/>
      <c r="O28" s="469">
        <v>1</v>
      </c>
      <c r="P28" s="454" t="s">
        <v>530</v>
      </c>
      <c r="Q28" s="454"/>
      <c r="R28" s="454"/>
      <c r="S28" s="454"/>
    </row>
    <row r="29" spans="1:19" s="302" customFormat="1" ht="179.25" customHeight="1" x14ac:dyDescent="0.2">
      <c r="A29" s="275">
        <v>18</v>
      </c>
      <c r="B29" s="275"/>
      <c r="C29" s="532" t="s">
        <v>301</v>
      </c>
      <c r="D29" s="275" t="s">
        <v>13</v>
      </c>
      <c r="E29" s="518" t="s">
        <v>349</v>
      </c>
      <c r="F29" s="298">
        <v>300000</v>
      </c>
      <c r="G29" s="298"/>
      <c r="H29" s="298"/>
      <c r="I29" s="551"/>
      <c r="J29" s="513"/>
      <c r="K29" s="514"/>
      <c r="L29" s="514"/>
      <c r="M29" s="515" t="s">
        <v>759</v>
      </c>
      <c r="N29" s="515"/>
      <c r="O29" s="469">
        <v>1</v>
      </c>
      <c r="P29" s="454" t="s">
        <v>530</v>
      </c>
      <c r="Q29" s="454"/>
      <c r="R29" s="454"/>
      <c r="S29" s="454"/>
    </row>
    <row r="30" spans="1:19" s="302" customFormat="1" ht="174" x14ac:dyDescent="0.2">
      <c r="A30" s="275">
        <v>19</v>
      </c>
      <c r="B30" s="275"/>
      <c r="C30" s="532" t="s">
        <v>301</v>
      </c>
      <c r="D30" s="275" t="s">
        <v>13</v>
      </c>
      <c r="E30" s="518" t="s">
        <v>350</v>
      </c>
      <c r="F30" s="298">
        <v>150000</v>
      </c>
      <c r="G30" s="298"/>
      <c r="H30" s="298"/>
      <c r="I30" s="551"/>
      <c r="J30" s="513"/>
      <c r="K30" s="514"/>
      <c r="L30" s="514"/>
      <c r="M30" s="515" t="s">
        <v>760</v>
      </c>
      <c r="N30" s="515"/>
      <c r="O30" s="469">
        <v>1</v>
      </c>
      <c r="P30" s="454" t="s">
        <v>530</v>
      </c>
      <c r="Q30" s="454"/>
      <c r="R30" s="454"/>
      <c r="S30" s="454"/>
    </row>
    <row r="31" spans="1:19" s="302" customFormat="1" ht="130.5" x14ac:dyDescent="0.2">
      <c r="A31" s="486">
        <v>20</v>
      </c>
      <c r="B31" s="486"/>
      <c r="C31" s="529" t="s">
        <v>301</v>
      </c>
      <c r="D31" s="486" t="s">
        <v>13</v>
      </c>
      <c r="E31" s="530" t="s">
        <v>351</v>
      </c>
      <c r="F31" s="488">
        <v>2160000</v>
      </c>
      <c r="G31" s="488"/>
      <c r="H31" s="488"/>
      <c r="I31" s="581"/>
      <c r="J31" s="513"/>
      <c r="K31" s="514"/>
      <c r="L31" s="514"/>
      <c r="M31" s="512" t="s">
        <v>761</v>
      </c>
      <c r="N31" s="512"/>
      <c r="O31" s="469">
        <v>2</v>
      </c>
      <c r="P31" s="454" t="s">
        <v>530</v>
      </c>
      <c r="Q31" s="454"/>
      <c r="R31" s="454"/>
      <c r="S31" s="454"/>
    </row>
    <row r="32" spans="1:19" s="302" customFormat="1" ht="174" x14ac:dyDescent="0.2">
      <c r="A32" s="275">
        <v>21</v>
      </c>
      <c r="B32" s="275"/>
      <c r="C32" s="532" t="s">
        <v>301</v>
      </c>
      <c r="D32" s="275" t="s">
        <v>13</v>
      </c>
      <c r="E32" s="518" t="s">
        <v>352</v>
      </c>
      <c r="F32" s="298">
        <v>90000</v>
      </c>
      <c r="G32" s="298"/>
      <c r="H32" s="298"/>
      <c r="I32" s="551"/>
      <c r="J32" s="513"/>
      <c r="K32" s="514"/>
      <c r="L32" s="514"/>
      <c r="M32" s="515" t="s">
        <v>762</v>
      </c>
      <c r="N32" s="515"/>
      <c r="O32" s="469">
        <v>1</v>
      </c>
      <c r="P32" s="454" t="s">
        <v>530</v>
      </c>
      <c r="Q32" s="454"/>
      <c r="R32" s="454"/>
      <c r="S32" s="454"/>
    </row>
    <row r="33" spans="1:19" s="302" customFormat="1" ht="195.75" x14ac:dyDescent="0.2">
      <c r="A33" s="275">
        <v>22</v>
      </c>
      <c r="B33" s="275"/>
      <c r="C33" s="532" t="s">
        <v>301</v>
      </c>
      <c r="D33" s="275" t="s">
        <v>13</v>
      </c>
      <c r="E33" s="518" t="s">
        <v>353</v>
      </c>
      <c r="F33" s="298">
        <v>240000</v>
      </c>
      <c r="G33" s="298"/>
      <c r="H33" s="298"/>
      <c r="I33" s="551"/>
      <c r="J33" s="513"/>
      <c r="K33" s="514"/>
      <c r="L33" s="514"/>
      <c r="M33" s="515" t="s">
        <v>763</v>
      </c>
      <c r="N33" s="515"/>
      <c r="O33" s="469">
        <v>1</v>
      </c>
      <c r="P33" s="454" t="s">
        <v>530</v>
      </c>
      <c r="Q33" s="454"/>
      <c r="R33" s="454"/>
      <c r="S33" s="454"/>
    </row>
    <row r="34" spans="1:19" s="302" customFormat="1" ht="183.75" customHeight="1" x14ac:dyDescent="0.2">
      <c r="A34" s="275">
        <v>23</v>
      </c>
      <c r="B34" s="275"/>
      <c r="C34" s="532" t="s">
        <v>301</v>
      </c>
      <c r="D34" s="275" t="s">
        <v>13</v>
      </c>
      <c r="E34" s="518" t="s">
        <v>354</v>
      </c>
      <c r="F34" s="298">
        <v>340000</v>
      </c>
      <c r="G34" s="298"/>
      <c r="H34" s="298"/>
      <c r="I34" s="551"/>
      <c r="J34" s="513"/>
      <c r="K34" s="514"/>
      <c r="L34" s="514"/>
      <c r="M34" s="515" t="s">
        <v>764</v>
      </c>
      <c r="N34" s="515"/>
      <c r="O34" s="469">
        <v>1</v>
      </c>
      <c r="P34" s="454" t="s">
        <v>530</v>
      </c>
      <c r="Q34" s="454"/>
      <c r="R34" s="454"/>
      <c r="S34" s="454"/>
    </row>
    <row r="35" spans="1:19" s="302" customFormat="1" ht="174" x14ac:dyDescent="0.2">
      <c r="A35" s="275">
        <v>24</v>
      </c>
      <c r="B35" s="275"/>
      <c r="C35" s="532" t="s">
        <v>301</v>
      </c>
      <c r="D35" s="275" t="s">
        <v>13</v>
      </c>
      <c r="E35" s="518" t="s">
        <v>355</v>
      </c>
      <c r="F35" s="298">
        <v>142500</v>
      </c>
      <c r="G35" s="298"/>
      <c r="H35" s="298"/>
      <c r="I35" s="551"/>
      <c r="J35" s="513"/>
      <c r="K35" s="514"/>
      <c r="L35" s="514"/>
      <c r="M35" s="515" t="s">
        <v>765</v>
      </c>
      <c r="N35" s="515"/>
      <c r="O35" s="469">
        <v>1</v>
      </c>
      <c r="P35" s="454" t="s">
        <v>530</v>
      </c>
      <c r="Q35" s="454"/>
      <c r="R35" s="454"/>
      <c r="S35" s="454"/>
    </row>
    <row r="36" spans="1:19" s="302" customFormat="1" ht="174" x14ac:dyDescent="0.2">
      <c r="A36" s="275">
        <v>25</v>
      </c>
      <c r="B36" s="275"/>
      <c r="C36" s="532" t="s">
        <v>301</v>
      </c>
      <c r="D36" s="275" t="s">
        <v>13</v>
      </c>
      <c r="E36" s="518" t="s">
        <v>356</v>
      </c>
      <c r="F36" s="298">
        <v>147000</v>
      </c>
      <c r="G36" s="298"/>
      <c r="H36" s="298"/>
      <c r="I36" s="551"/>
      <c r="J36" s="513"/>
      <c r="K36" s="514"/>
      <c r="L36" s="514"/>
      <c r="M36" s="515" t="s">
        <v>766</v>
      </c>
      <c r="N36" s="515"/>
      <c r="O36" s="469">
        <v>1</v>
      </c>
      <c r="P36" s="454" t="s">
        <v>530</v>
      </c>
      <c r="Q36" s="454"/>
      <c r="R36" s="454"/>
      <c r="S36" s="454"/>
    </row>
    <row r="37" spans="1:19" s="302" customFormat="1" ht="162" customHeight="1" x14ac:dyDescent="0.2">
      <c r="A37" s="275">
        <v>26</v>
      </c>
      <c r="B37" s="275"/>
      <c r="C37" s="625" t="s">
        <v>433</v>
      </c>
      <c r="D37" s="275" t="s">
        <v>16</v>
      </c>
      <c r="E37" s="628" t="s">
        <v>427</v>
      </c>
      <c r="F37" s="612">
        <v>1000000</v>
      </c>
      <c r="G37" s="298"/>
      <c r="H37" s="298"/>
      <c r="I37" s="551"/>
      <c r="J37" s="513"/>
      <c r="K37" s="514"/>
      <c r="L37" s="514"/>
      <c r="M37" s="551" t="s">
        <v>750</v>
      </c>
      <c r="N37" s="551"/>
      <c r="O37" s="469">
        <v>1</v>
      </c>
      <c r="P37" s="454" t="s">
        <v>532</v>
      </c>
      <c r="Q37" s="454"/>
      <c r="R37" s="454"/>
      <c r="S37" s="454"/>
    </row>
    <row r="38" spans="1:19" s="302" customFormat="1" ht="107.25" customHeight="1" x14ac:dyDescent="0.2">
      <c r="A38" s="486">
        <v>27</v>
      </c>
      <c r="B38" s="486"/>
      <c r="C38" s="629" t="s">
        <v>478</v>
      </c>
      <c r="D38" s="529" t="s">
        <v>41</v>
      </c>
      <c r="E38" s="630" t="s">
        <v>476</v>
      </c>
      <c r="F38" s="602">
        <v>58600000</v>
      </c>
      <c r="G38" s="570"/>
      <c r="H38" s="570"/>
      <c r="I38" s="686" t="s">
        <v>767</v>
      </c>
      <c r="J38" s="513"/>
      <c r="K38" s="514"/>
      <c r="L38" s="514"/>
      <c r="M38" s="645" t="s">
        <v>768</v>
      </c>
      <c r="N38" s="645"/>
      <c r="O38" s="469"/>
      <c r="P38" s="454"/>
      <c r="Q38" s="454"/>
      <c r="R38" s="454"/>
      <c r="S38" s="454"/>
    </row>
    <row r="39" spans="1:19" s="302" customFormat="1" ht="136.5" customHeight="1" x14ac:dyDescent="0.2">
      <c r="A39" s="687">
        <v>28</v>
      </c>
      <c r="B39" s="688"/>
      <c r="C39" s="688" t="s">
        <v>276</v>
      </c>
      <c r="D39" s="688" t="s">
        <v>105</v>
      </c>
      <c r="E39" s="688" t="s">
        <v>291</v>
      </c>
      <c r="F39" s="531">
        <v>2390000</v>
      </c>
      <c r="G39" s="531"/>
      <c r="H39" s="298"/>
      <c r="I39" s="689" t="s">
        <v>769</v>
      </c>
      <c r="J39" s="513"/>
      <c r="K39" s="514"/>
      <c r="L39" s="514"/>
      <c r="M39" s="689" t="s">
        <v>770</v>
      </c>
      <c r="N39" s="689"/>
      <c r="O39" s="469"/>
      <c r="P39" s="454"/>
      <c r="Q39" s="454"/>
      <c r="R39" s="454"/>
      <c r="S39" s="454"/>
    </row>
    <row r="40" spans="1:19" s="302" customFormat="1" ht="107.25" customHeight="1" x14ac:dyDescent="0.2">
      <c r="A40" s="486">
        <v>29</v>
      </c>
      <c r="B40" s="690"/>
      <c r="C40" s="651" t="s">
        <v>445</v>
      </c>
      <c r="D40" s="486" t="s">
        <v>145</v>
      </c>
      <c r="E40" s="530" t="s">
        <v>230</v>
      </c>
      <c r="F40" s="569">
        <v>23842000</v>
      </c>
      <c r="G40" s="570"/>
      <c r="H40" s="570"/>
      <c r="I40" s="571"/>
      <c r="J40" s="571"/>
      <c r="K40" s="632"/>
      <c r="L40" s="632"/>
      <c r="M40" s="581"/>
      <c r="N40" s="581"/>
      <c r="O40" s="469"/>
      <c r="P40" s="454"/>
      <c r="Q40" s="454"/>
      <c r="R40" s="454"/>
      <c r="S40" s="454"/>
    </row>
    <row r="41" spans="1:19" s="9" customFormat="1" ht="22.5" customHeight="1" x14ac:dyDescent="0.2">
      <c r="A41" s="6"/>
      <c r="B41" s="13"/>
      <c r="C41" s="13"/>
      <c r="D41" s="13"/>
      <c r="E41" s="7"/>
      <c r="F41" s="334"/>
      <c r="G41" s="29"/>
      <c r="H41" s="29"/>
      <c r="I41" s="257"/>
      <c r="J41" s="11"/>
      <c r="K41" s="10"/>
      <c r="L41" s="10"/>
      <c r="M41" s="257"/>
      <c r="N41" s="257"/>
      <c r="O41" s="445"/>
      <c r="P41" s="445"/>
      <c r="Q41" s="437"/>
      <c r="R41" s="437"/>
      <c r="S41" s="437"/>
    </row>
    <row r="42" spans="1:19" s="14" customFormat="1" x14ac:dyDescent="0.5">
      <c r="A42" s="241">
        <f>+A40</f>
        <v>29</v>
      </c>
      <c r="B42" s="241"/>
      <c r="C42" s="241"/>
      <c r="D42" s="241"/>
      <c r="E42" s="242" t="s">
        <v>47</v>
      </c>
      <c r="F42" s="329">
        <f>SUM(F11:F41)</f>
        <v>807245900</v>
      </c>
      <c r="G42" s="243">
        <f>SUM(G11:G41)</f>
        <v>0</v>
      </c>
      <c r="H42" s="243">
        <f>SUM(H11:H41)</f>
        <v>0</v>
      </c>
      <c r="I42" s="241"/>
      <c r="J42" s="258">
        <f>SUM(J11:J41)</f>
        <v>0</v>
      </c>
      <c r="K42" s="258">
        <f>SUM(K11:K41)</f>
        <v>0</v>
      </c>
      <c r="L42" s="258">
        <f>SUM(L11:L41)</f>
        <v>0</v>
      </c>
      <c r="M42" s="241"/>
      <c r="N42" s="241"/>
      <c r="O42" s="463"/>
      <c r="P42" s="463"/>
      <c r="Q42" s="450">
        <f>+F42+G42</f>
        <v>807245900</v>
      </c>
      <c r="R42" s="451"/>
      <c r="S42" s="451"/>
    </row>
    <row r="43" spans="1:19" s="19" customFormat="1" x14ac:dyDescent="0.2">
      <c r="A43" s="17"/>
      <c r="B43" s="17"/>
      <c r="C43" s="17"/>
      <c r="D43" s="17"/>
      <c r="E43" s="30" t="s">
        <v>10</v>
      </c>
      <c r="F43" s="336"/>
      <c r="G43" s="34"/>
      <c r="H43" s="34"/>
      <c r="I43" s="257"/>
      <c r="J43" s="34"/>
      <c r="K43" s="18"/>
      <c r="L43" s="18"/>
      <c r="M43" s="257"/>
      <c r="N43" s="257"/>
      <c r="O43" s="464"/>
      <c r="P43" s="464"/>
      <c r="Q43" s="453"/>
      <c r="R43" s="453"/>
      <c r="S43" s="453"/>
    </row>
    <row r="44" spans="1:19" s="19" customFormat="1" ht="69" x14ac:dyDescent="0.2">
      <c r="A44" s="275">
        <v>1</v>
      </c>
      <c r="B44" s="275"/>
      <c r="C44" s="662" t="s">
        <v>360</v>
      </c>
      <c r="D44" s="275"/>
      <c r="E44" s="562" t="s">
        <v>221</v>
      </c>
      <c r="F44" s="691">
        <v>97000</v>
      </c>
      <c r="G44" s="555"/>
      <c r="H44" s="555"/>
      <c r="I44" s="692"/>
      <c r="J44" s="693"/>
      <c r="K44" s="694"/>
      <c r="L44" s="694"/>
      <c r="M44" s="692" t="s">
        <v>771</v>
      </c>
      <c r="N44" s="692"/>
      <c r="O44" s="464">
        <v>1</v>
      </c>
      <c r="P44" s="464"/>
      <c r="Q44" s="455">
        <f>F49+G49</f>
        <v>14600000</v>
      </c>
      <c r="R44" s="453"/>
      <c r="S44" s="453"/>
    </row>
    <row r="45" spans="1:19" s="19" customFormat="1" ht="69" x14ac:dyDescent="0.2">
      <c r="A45" s="275">
        <v>2</v>
      </c>
      <c r="B45" s="275"/>
      <c r="C45" s="662" t="s">
        <v>360</v>
      </c>
      <c r="D45" s="275"/>
      <c r="E45" s="518" t="s">
        <v>218</v>
      </c>
      <c r="F45" s="519">
        <v>1223000</v>
      </c>
      <c r="G45" s="555"/>
      <c r="H45" s="555"/>
      <c r="I45" s="692"/>
      <c r="J45" s="693"/>
      <c r="K45" s="694"/>
      <c r="L45" s="694"/>
      <c r="M45" s="692" t="s">
        <v>772</v>
      </c>
      <c r="N45" s="692"/>
      <c r="O45" s="464">
        <v>1</v>
      </c>
      <c r="P45" s="464"/>
      <c r="Q45" s="453"/>
      <c r="R45" s="453"/>
      <c r="S45" s="453"/>
    </row>
    <row r="46" spans="1:19" s="19" customFormat="1" ht="69" x14ac:dyDescent="0.2">
      <c r="A46" s="275">
        <v>3</v>
      </c>
      <c r="B46" s="275"/>
      <c r="C46" s="662" t="s">
        <v>360</v>
      </c>
      <c r="D46" s="275"/>
      <c r="E46" s="518" t="s">
        <v>220</v>
      </c>
      <c r="F46" s="519">
        <v>1386000</v>
      </c>
      <c r="G46" s="555"/>
      <c r="H46" s="555"/>
      <c r="I46" s="692"/>
      <c r="J46" s="693"/>
      <c r="K46" s="694"/>
      <c r="L46" s="694"/>
      <c r="M46" s="692" t="s">
        <v>772</v>
      </c>
      <c r="N46" s="692"/>
      <c r="O46" s="464">
        <v>1</v>
      </c>
      <c r="P46" s="464"/>
      <c r="Q46" s="453"/>
      <c r="R46" s="453"/>
      <c r="S46" s="453"/>
    </row>
    <row r="47" spans="1:19" s="19" customFormat="1" ht="87" x14ac:dyDescent="0.2">
      <c r="A47" s="486">
        <v>4</v>
      </c>
      <c r="B47" s="486"/>
      <c r="C47" s="660" t="s">
        <v>360</v>
      </c>
      <c r="D47" s="486"/>
      <c r="E47" s="530" t="s">
        <v>219</v>
      </c>
      <c r="F47" s="531">
        <v>100266000</v>
      </c>
      <c r="G47" s="695"/>
      <c r="H47" s="695"/>
      <c r="I47" s="613"/>
      <c r="J47" s="693"/>
      <c r="K47" s="694"/>
      <c r="L47" s="694"/>
      <c r="M47" s="613" t="s">
        <v>773</v>
      </c>
      <c r="N47" s="613"/>
      <c r="O47" s="464">
        <v>2</v>
      </c>
      <c r="P47" s="464"/>
      <c r="Q47" s="453"/>
      <c r="R47" s="453"/>
      <c r="S47" s="453"/>
    </row>
    <row r="48" spans="1:19" s="19" customFormat="1" ht="130.5" x14ac:dyDescent="0.2">
      <c r="A48" s="486">
        <v>5</v>
      </c>
      <c r="B48" s="486"/>
      <c r="C48" s="631" t="s">
        <v>360</v>
      </c>
      <c r="D48" s="486" t="s">
        <v>38</v>
      </c>
      <c r="E48" s="601" t="s">
        <v>461</v>
      </c>
      <c r="F48" s="602">
        <v>39320000</v>
      </c>
      <c r="G48" s="695"/>
      <c r="H48" s="695"/>
      <c r="I48" s="613"/>
      <c r="J48" s="693"/>
      <c r="K48" s="694"/>
      <c r="L48" s="694"/>
      <c r="M48" s="613" t="s">
        <v>774</v>
      </c>
      <c r="N48" s="613"/>
      <c r="O48" s="464">
        <v>2</v>
      </c>
      <c r="P48" s="464"/>
      <c r="Q48" s="455"/>
      <c r="R48" s="453"/>
      <c r="S48" s="453"/>
    </row>
    <row r="49" spans="1:48" s="19" customFormat="1" ht="174" x14ac:dyDescent="0.2">
      <c r="A49" s="486">
        <v>6</v>
      </c>
      <c r="B49" s="486"/>
      <c r="C49" s="552" t="s">
        <v>360</v>
      </c>
      <c r="D49" s="486" t="s">
        <v>38</v>
      </c>
      <c r="E49" s="601" t="s">
        <v>479</v>
      </c>
      <c r="F49" s="602">
        <v>14600000</v>
      </c>
      <c r="G49" s="695"/>
      <c r="H49" s="695"/>
      <c r="I49" s="613"/>
      <c r="J49" s="693"/>
      <c r="K49" s="694"/>
      <c r="L49" s="694"/>
      <c r="M49" s="613" t="s">
        <v>775</v>
      </c>
      <c r="N49" s="613"/>
      <c r="O49" s="464">
        <v>2</v>
      </c>
      <c r="P49" s="464"/>
      <c r="Q49" s="455"/>
      <c r="R49" s="453"/>
      <c r="S49" s="453"/>
    </row>
    <row r="50" spans="1:48" s="19" customFormat="1" ht="131.25" thickBot="1" x14ac:dyDescent="0.25">
      <c r="A50" s="486">
        <v>7</v>
      </c>
      <c r="B50" s="486"/>
      <c r="C50" s="552" t="s">
        <v>360</v>
      </c>
      <c r="D50" s="486" t="s">
        <v>38</v>
      </c>
      <c r="E50" s="530" t="s">
        <v>359</v>
      </c>
      <c r="F50" s="488">
        <v>44810600</v>
      </c>
      <c r="G50" s="695"/>
      <c r="H50" s="695"/>
      <c r="I50" s="613"/>
      <c r="J50" s="693"/>
      <c r="K50" s="694"/>
      <c r="L50" s="694"/>
      <c r="M50" s="613" t="s">
        <v>776</v>
      </c>
      <c r="N50" s="613"/>
      <c r="O50" s="464">
        <v>2</v>
      </c>
      <c r="P50" s="464"/>
      <c r="Q50" s="455"/>
      <c r="R50" s="453"/>
      <c r="S50" s="453"/>
    </row>
    <row r="51" spans="1:48" s="28" customFormat="1" ht="21" customHeight="1" thickBot="1" x14ac:dyDescent="0.55000000000000004">
      <c r="A51" s="271"/>
      <c r="B51" s="271"/>
      <c r="C51" s="271"/>
      <c r="D51" s="271"/>
      <c r="E51" s="357"/>
      <c r="F51" s="337"/>
      <c r="G51" s="269"/>
      <c r="H51" s="269"/>
      <c r="I51" s="269"/>
      <c r="J51" s="249" t="e">
        <f>J42+#REF!</f>
        <v>#REF!</v>
      </c>
      <c r="K51" s="249" t="e">
        <f>K42+#REF!</f>
        <v>#REF!</v>
      </c>
      <c r="L51" s="249" t="e">
        <f>L42+#REF!</f>
        <v>#REF!</v>
      </c>
      <c r="M51" s="269"/>
      <c r="N51" s="269"/>
      <c r="O51" s="465"/>
      <c r="P51" s="465"/>
      <c r="Q51" s="436" t="e">
        <f>+Q42+#REF!</f>
        <v>#REF!</v>
      </c>
      <c r="R51" s="457"/>
      <c r="S51" s="457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48" s="9" customFormat="1" ht="22.5" thickBot="1" x14ac:dyDescent="0.55000000000000004">
      <c r="A52" s="244">
        <f>+A50</f>
        <v>7</v>
      </c>
      <c r="B52" s="244"/>
      <c r="C52" s="244"/>
      <c r="D52" s="244"/>
      <c r="E52" s="245" t="s">
        <v>33</v>
      </c>
      <c r="F52" s="330">
        <f>SUM(F44:F51)</f>
        <v>201702600</v>
      </c>
      <c r="G52" s="246">
        <f>SUM(G44:G51)</f>
        <v>0</v>
      </c>
      <c r="H52" s="246">
        <f>SUM(H44:H51)</f>
        <v>0</v>
      </c>
      <c r="I52" s="259"/>
      <c r="J52" s="20"/>
      <c r="K52" s="104"/>
      <c r="L52" s="104"/>
      <c r="M52" s="259"/>
      <c r="N52" s="259"/>
      <c r="O52" s="445"/>
      <c r="P52" s="445"/>
      <c r="Q52" s="437"/>
      <c r="R52" s="437"/>
      <c r="S52" s="437"/>
    </row>
    <row r="53" spans="1:48" s="9" customFormat="1" ht="22.5" thickBot="1" x14ac:dyDescent="0.55000000000000004">
      <c r="A53" s="247">
        <f>+A42+A52</f>
        <v>36</v>
      </c>
      <c r="B53" s="248"/>
      <c r="C53" s="248"/>
      <c r="D53" s="248"/>
      <c r="E53" s="248" t="s">
        <v>167</v>
      </c>
      <c r="F53" s="331">
        <f>F42+F52</f>
        <v>1008948500</v>
      </c>
      <c r="G53" s="310">
        <f>+G42+G52</f>
        <v>0</v>
      </c>
      <c r="H53" s="310">
        <f>+H42+H52</f>
        <v>0</v>
      </c>
      <c r="I53" s="249"/>
      <c r="J53" s="20"/>
      <c r="K53" s="104"/>
      <c r="L53" s="104"/>
      <c r="M53" s="249"/>
      <c r="N53" s="249"/>
      <c r="O53" s="445"/>
      <c r="P53" s="445"/>
      <c r="Q53" s="437"/>
      <c r="R53" s="437"/>
      <c r="S53" s="437"/>
    </row>
    <row r="54" spans="1:48" s="9" customFormat="1" x14ac:dyDescent="0.2">
      <c r="A54" s="15"/>
      <c r="B54" s="15"/>
      <c r="C54" s="15"/>
      <c r="D54" s="15"/>
      <c r="E54" s="31"/>
      <c r="F54" s="104"/>
      <c r="G54" s="20"/>
      <c r="H54" s="20"/>
      <c r="I54" s="20"/>
      <c r="J54" s="20"/>
      <c r="K54" s="104"/>
      <c r="L54" s="104"/>
      <c r="M54" s="20"/>
      <c r="N54" s="20"/>
      <c r="O54" s="445"/>
      <c r="P54" s="445"/>
      <c r="Q54" s="437"/>
      <c r="R54" s="437"/>
      <c r="S54" s="437"/>
    </row>
    <row r="55" spans="1:48" s="9" customFormat="1" x14ac:dyDescent="0.2">
      <c r="A55" s="15"/>
      <c r="B55" s="15"/>
      <c r="C55" s="15"/>
      <c r="D55" s="15"/>
      <c r="E55" s="31"/>
      <c r="F55" s="104"/>
      <c r="G55" s="20"/>
      <c r="H55" s="20"/>
      <c r="I55" s="20"/>
      <c r="J55" s="20"/>
      <c r="K55" s="104"/>
      <c r="L55" s="104"/>
      <c r="M55" s="20"/>
      <c r="N55" s="20"/>
      <c r="O55" s="445"/>
      <c r="P55" s="445"/>
      <c r="Q55" s="437"/>
      <c r="R55" s="437"/>
      <c r="S55" s="437"/>
    </row>
    <row r="56" spans="1:48" s="9" customFormat="1" x14ac:dyDescent="0.2">
      <c r="A56" s="15"/>
      <c r="B56" s="15"/>
      <c r="C56" s="15"/>
      <c r="D56" s="15"/>
      <c r="E56" s="31"/>
      <c r="F56" s="104"/>
      <c r="G56" s="20"/>
      <c r="H56" s="20"/>
      <c r="I56" s="20"/>
      <c r="J56" s="20"/>
      <c r="K56" s="104"/>
      <c r="L56" s="104"/>
      <c r="M56" s="20"/>
      <c r="N56" s="20"/>
      <c r="O56" s="445"/>
      <c r="P56" s="445"/>
      <c r="Q56" s="437"/>
      <c r="R56" s="437"/>
      <c r="S56" s="437"/>
    </row>
    <row r="57" spans="1:48" x14ac:dyDescent="0.5">
      <c r="A57" s="15"/>
      <c r="B57" s="15"/>
      <c r="C57" s="15"/>
      <c r="D57" s="15"/>
      <c r="E57" s="31"/>
      <c r="F57" s="261"/>
      <c r="G57" s="20"/>
      <c r="H57" s="20"/>
      <c r="I57" s="20"/>
      <c r="M57" s="20"/>
      <c r="N57" s="20"/>
    </row>
    <row r="58" spans="1:48" s="23" customFormat="1" x14ac:dyDescent="0.5">
      <c r="A58" s="15"/>
      <c r="B58" s="15"/>
      <c r="C58" s="15"/>
      <c r="D58" s="15"/>
      <c r="E58" s="31"/>
      <c r="F58" s="261"/>
      <c r="G58" s="20"/>
      <c r="H58" s="20"/>
      <c r="I58" s="20"/>
      <c r="J58" s="125"/>
      <c r="K58" s="190"/>
      <c r="L58" s="190"/>
      <c r="M58" s="20"/>
      <c r="N58" s="20"/>
      <c r="O58" s="441"/>
      <c r="P58" s="441"/>
      <c r="Q58" s="434"/>
      <c r="R58" s="434"/>
      <c r="S58" s="43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</row>
    <row r="59" spans="1:48" s="23" customFormat="1" x14ac:dyDescent="0.5">
      <c r="A59" s="3"/>
      <c r="B59" s="3"/>
      <c r="C59" s="3"/>
      <c r="D59" s="3"/>
      <c r="E59" s="1"/>
      <c r="F59" s="264"/>
      <c r="G59" s="106"/>
      <c r="H59" s="106"/>
      <c r="I59" s="106"/>
      <c r="J59" s="107"/>
      <c r="K59" s="190"/>
      <c r="L59" s="190"/>
      <c r="M59" s="106"/>
      <c r="N59" s="106"/>
      <c r="O59" s="441"/>
      <c r="P59" s="441"/>
      <c r="Q59" s="434"/>
      <c r="R59" s="434"/>
      <c r="S59" s="43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</row>
    <row r="60" spans="1:48" s="23" customFormat="1" ht="22.5" thickBot="1" x14ac:dyDescent="0.55000000000000004">
      <c r="A60" s="22"/>
      <c r="B60" s="22"/>
      <c r="C60" s="22"/>
      <c r="D60" s="22"/>
      <c r="E60" s="81" t="s">
        <v>99</v>
      </c>
      <c r="F60" s="262"/>
      <c r="G60" s="238"/>
      <c r="H60" s="125"/>
      <c r="I60" s="125"/>
      <c r="J60" s="107"/>
      <c r="K60" s="190"/>
      <c r="L60" s="190"/>
      <c r="M60" s="125"/>
      <c r="N60" s="125"/>
      <c r="O60" s="441"/>
      <c r="P60" s="441"/>
      <c r="Q60" s="434"/>
      <c r="R60" s="434"/>
      <c r="S60" s="43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</row>
    <row r="61" spans="1:48" s="23" customFormat="1" ht="22.5" thickTop="1" x14ac:dyDescent="0.5">
      <c r="A61" s="22"/>
      <c r="B61" s="22"/>
      <c r="C61" s="22"/>
      <c r="D61" s="22"/>
      <c r="E61" s="23" t="s">
        <v>25</v>
      </c>
      <c r="F61" s="263"/>
      <c r="G61" s="107"/>
      <c r="H61" s="107"/>
      <c r="I61" s="107"/>
      <c r="J61" s="107"/>
      <c r="K61" s="190"/>
      <c r="L61" s="190"/>
      <c r="M61" s="107"/>
      <c r="N61" s="107"/>
      <c r="O61" s="441"/>
      <c r="P61" s="441"/>
      <c r="Q61" s="434"/>
      <c r="R61" s="434"/>
      <c r="S61" s="43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</row>
    <row r="62" spans="1:48" x14ac:dyDescent="0.5">
      <c r="A62" s="22"/>
      <c r="B62" s="22"/>
      <c r="C62" s="22"/>
      <c r="D62" s="22"/>
      <c r="E62" s="23" t="s">
        <v>98</v>
      </c>
      <c r="F62" s="263"/>
      <c r="G62" s="107"/>
      <c r="H62" s="107"/>
      <c r="I62" s="107"/>
      <c r="M62" s="107"/>
      <c r="N62" s="107"/>
    </row>
    <row r="63" spans="1:48" x14ac:dyDescent="0.5">
      <c r="A63" s="22"/>
      <c r="B63" s="22"/>
      <c r="C63" s="22"/>
      <c r="D63" s="22"/>
      <c r="E63" s="23" t="s">
        <v>18</v>
      </c>
      <c r="F63" s="263"/>
      <c r="G63" s="107"/>
      <c r="H63" s="107"/>
      <c r="I63" s="107"/>
      <c r="M63" s="107"/>
      <c r="N63" s="107"/>
    </row>
  </sheetData>
  <autoFilter ref="O1:O63"/>
  <mergeCells count="21">
    <mergeCell ref="A5:A8"/>
    <mergeCell ref="B5:B8"/>
    <mergeCell ref="D5:D8"/>
    <mergeCell ref="E5:E8"/>
    <mergeCell ref="F4:G4"/>
    <mergeCell ref="A1:N1"/>
    <mergeCell ref="A2:N2"/>
    <mergeCell ref="A3:N3"/>
    <mergeCell ref="S5:S8"/>
    <mergeCell ref="C5:C8"/>
    <mergeCell ref="L5:L8"/>
    <mergeCell ref="G6:G8"/>
    <mergeCell ref="J5:J8"/>
    <mergeCell ref="R5:R8"/>
    <mergeCell ref="F6:F8"/>
    <mergeCell ref="N5:N8"/>
    <mergeCell ref="K5:K8"/>
    <mergeCell ref="F5:H5"/>
    <mergeCell ref="I5:I8"/>
    <mergeCell ref="H6:H8"/>
    <mergeCell ref="M5:M8"/>
  </mergeCells>
  <phoneticPr fontId="2" type="noConversion"/>
  <conditionalFormatting sqref="F11:F12 F14:F16 F29:F30 F33:F35">
    <cfRule type="cellIs" dxfId="28" priority="24" stopIfTrue="1" operator="between">
      <formula>2000001</formula>
      <formula>500000000</formula>
    </cfRule>
  </conditionalFormatting>
  <conditionalFormatting sqref="F13">
    <cfRule type="cellIs" dxfId="27" priority="23" stopIfTrue="1" operator="between">
      <formula>2000001</formula>
      <formula>500000000</formula>
    </cfRule>
  </conditionalFormatting>
  <conditionalFormatting sqref="F17">
    <cfRule type="cellIs" dxfId="26" priority="21" stopIfTrue="1" operator="between">
      <formula>2000001</formula>
      <formula>500000000</formula>
    </cfRule>
  </conditionalFormatting>
  <conditionalFormatting sqref="F18">
    <cfRule type="cellIs" dxfId="25" priority="20" stopIfTrue="1" operator="between">
      <formula>2000001</formula>
      <formula>500000000</formula>
    </cfRule>
  </conditionalFormatting>
  <conditionalFormatting sqref="F20:F25">
    <cfRule type="cellIs" dxfId="24" priority="19" stopIfTrue="1" operator="between">
      <formula>2000001</formula>
      <formula>500000000</formula>
    </cfRule>
  </conditionalFormatting>
  <conditionalFormatting sqref="F26:F28">
    <cfRule type="cellIs" dxfId="23" priority="18" stopIfTrue="1" operator="between">
      <formula>2000001</formula>
      <formula>500000000</formula>
    </cfRule>
  </conditionalFormatting>
  <conditionalFormatting sqref="F31:F32">
    <cfRule type="cellIs" dxfId="22" priority="17" stopIfTrue="1" operator="between">
      <formula>2000001</formula>
      <formula>500000000</formula>
    </cfRule>
  </conditionalFormatting>
  <conditionalFormatting sqref="F36">
    <cfRule type="cellIs" dxfId="21" priority="16" stopIfTrue="1" operator="between">
      <formula>2000001</formula>
      <formula>500000000</formula>
    </cfRule>
  </conditionalFormatting>
  <conditionalFormatting sqref="F37">
    <cfRule type="cellIs" dxfId="20" priority="15" stopIfTrue="1" operator="between">
      <formula>2000001</formula>
      <formula>500000000</formula>
    </cfRule>
  </conditionalFormatting>
  <conditionalFormatting sqref="F11:F37">
    <cfRule type="cellIs" dxfId="19" priority="13" stopIfTrue="1" operator="greaterThan">
      <formula>500000001</formula>
    </cfRule>
    <cfRule type="cellIs" dxfId="18" priority="14" stopIfTrue="1" operator="greaterThan">
      <formula>500000001</formula>
    </cfRule>
  </conditionalFormatting>
  <conditionalFormatting sqref="F18">
    <cfRule type="cellIs" dxfId="17" priority="11" operator="greaterThan">
      <formula>500000001</formula>
    </cfRule>
    <cfRule type="cellIs" dxfId="16" priority="12" stopIfTrue="1" operator="greaterThan">
      <formula>500000001</formula>
    </cfRule>
  </conditionalFormatting>
  <conditionalFormatting sqref="A39:G39">
    <cfRule type="cellIs" dxfId="15" priority="10" stopIfTrue="1" operator="between">
      <formula>2000001</formula>
      <formula>500000000</formula>
    </cfRule>
  </conditionalFormatting>
  <conditionalFormatting sqref="F38">
    <cfRule type="cellIs" dxfId="14" priority="9" stopIfTrue="1" operator="between">
      <formula>2000001</formula>
      <formula>500000000</formula>
    </cfRule>
  </conditionalFormatting>
  <conditionalFormatting sqref="F40">
    <cfRule type="cellIs" dxfId="13" priority="8" stopIfTrue="1" operator="between">
      <formula>2000001</formula>
      <formula>500000000</formula>
    </cfRule>
  </conditionalFormatting>
  <conditionalFormatting sqref="B40">
    <cfRule type="cellIs" dxfId="12" priority="7" stopIfTrue="1" operator="between">
      <formula>2000001</formula>
      <formula>500000000</formula>
    </cfRule>
  </conditionalFormatting>
  <conditionalFormatting sqref="F44:F47">
    <cfRule type="cellIs" dxfId="11" priority="6" stopIfTrue="1" operator="between">
      <formula>2000001</formula>
      <formula>500000000</formula>
    </cfRule>
  </conditionalFormatting>
  <conditionalFormatting sqref="F48">
    <cfRule type="cellIs" dxfId="10" priority="5" stopIfTrue="1" operator="between">
      <formula>2000001</formula>
      <formula>500000000</formula>
    </cfRule>
  </conditionalFormatting>
  <conditionalFormatting sqref="F49:F50">
    <cfRule type="cellIs" dxfId="9" priority="4" stopIfTrue="1" operator="between">
      <formula>2000001</formula>
      <formula>500000000</formula>
    </cfRule>
  </conditionalFormatting>
  <conditionalFormatting sqref="F44:F50">
    <cfRule type="cellIs" dxfId="8" priority="2" stopIfTrue="1" operator="greaterThan">
      <formula>500000001</formula>
    </cfRule>
    <cfRule type="cellIs" dxfId="7" priority="3" stopIfTrue="1" operator="greaterThan">
      <formula>500000001</formula>
    </cfRule>
  </conditionalFormatting>
  <conditionalFormatting sqref="F4 F54:F1048576 F9:F52">
    <cfRule type="cellIs" dxfId="6" priority="1" operator="greaterThan">
      <formula>500000001</formula>
    </cfRule>
  </conditionalFormatting>
  <pageMargins left="0.74803149606299213" right="0.74803149606299213" top="0.59055118110236227" bottom="0.59055118110236227" header="0.35433070866141736" footer="0.51181102362204722"/>
  <pageSetup paperSize="9" scale="90" orientation="landscape" blackAndWhite="1" r:id="rId1"/>
  <headerFooter alignWithMargins="0"/>
  <rowBreaks count="2" manualBreakCount="2">
    <brk id="58" max="14" man="1"/>
    <brk id="100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30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140625" style="3" customWidth="1"/>
    <col min="5" max="5" width="49.140625" style="1" customWidth="1"/>
    <col min="6" max="6" width="15.140625" style="264" customWidth="1"/>
    <col min="7" max="7" width="13" style="106" customWidth="1"/>
    <col min="8" max="8" width="12.42578125" style="106" hidden="1" customWidth="1"/>
    <col min="9" max="9" width="26.7109375" style="106" hidden="1" customWidth="1"/>
    <col min="10" max="10" width="13.140625" style="106" hidden="1" customWidth="1"/>
    <col min="11" max="11" width="5.42578125" style="156" hidden="1" customWidth="1"/>
    <col min="12" max="12" width="3.85546875" style="156" hidden="1" customWidth="1"/>
    <col min="13" max="14" width="26.7109375" style="106" customWidth="1"/>
    <col min="15" max="15" width="4.28515625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7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70"/>
      <c r="P2" s="435" t="s">
        <v>522</v>
      </c>
      <c r="Q2" s="434">
        <v>12</v>
      </c>
      <c r="R2" s="436">
        <f>SUM(F11:F11)</f>
        <v>0</v>
      </c>
      <c r="S2" s="467">
        <v>1</v>
      </c>
      <c r="T2" s="436" t="e">
        <f>+#REF!</f>
        <v>#REF!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70"/>
      <c r="P3" s="437" t="s">
        <v>523</v>
      </c>
      <c r="Q3" s="438" t="s">
        <v>209</v>
      </c>
      <c r="R3" s="439" t="s">
        <v>209</v>
      </c>
      <c r="S3" s="440">
        <v>4</v>
      </c>
      <c r="T3" s="439" t="e">
        <f>+#REF!+#REF!+#REF!+#REF!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x14ac:dyDescent="0.5">
      <c r="A9" s="12"/>
      <c r="B9" s="12"/>
      <c r="C9" s="12"/>
      <c r="D9" s="12"/>
      <c r="E9" s="32" t="s">
        <v>38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hidden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62.25" hidden="1" customHeight="1" x14ac:dyDescent="0.2">
      <c r="A11" s="271"/>
      <c r="B11" s="271"/>
      <c r="C11" s="370"/>
      <c r="D11" s="271"/>
      <c r="E11" s="368"/>
      <c r="F11" s="367"/>
      <c r="G11" s="323"/>
      <c r="H11" s="323"/>
      <c r="I11" s="269"/>
      <c r="J11" s="11"/>
      <c r="K11" s="10"/>
      <c r="L11" s="10"/>
      <c r="M11" s="269"/>
      <c r="N11" s="269"/>
      <c r="O11" s="445"/>
      <c r="P11" s="453"/>
      <c r="Q11" s="453"/>
      <c r="R11" s="453"/>
      <c r="S11" s="453"/>
      <c r="T11" s="453"/>
    </row>
    <row r="12" spans="1:39" s="9" customFormat="1" hidden="1" x14ac:dyDescent="0.2">
      <c r="A12" s="6"/>
      <c r="B12" s="13"/>
      <c r="C12" s="271"/>
      <c r="D12" s="13"/>
      <c r="E12" s="315"/>
      <c r="F12" s="318"/>
      <c r="G12" s="317"/>
      <c r="H12" s="317"/>
      <c r="I12" s="317"/>
      <c r="J12" s="317"/>
      <c r="K12" s="316"/>
      <c r="L12" s="316"/>
      <c r="M12" s="317"/>
      <c r="N12" s="317"/>
      <c r="O12" s="471"/>
      <c r="P12" s="437"/>
      <c r="Q12" s="437"/>
      <c r="R12" s="437"/>
      <c r="S12" s="437"/>
      <c r="T12" s="437"/>
    </row>
    <row r="13" spans="1:39" s="14" customFormat="1" hidden="1" x14ac:dyDescent="0.5">
      <c r="A13" s="241">
        <f>+A11</f>
        <v>0</v>
      </c>
      <c r="B13" s="241"/>
      <c r="C13" s="241"/>
      <c r="D13" s="241"/>
      <c r="E13" s="242" t="s">
        <v>47</v>
      </c>
      <c r="F13" s="258">
        <f>SUM(F11:F12)</f>
        <v>0</v>
      </c>
      <c r="G13" s="243">
        <f>SUM(G11:G12)</f>
        <v>0</v>
      </c>
      <c r="H13" s="243">
        <f>SUM(H11:H12)</f>
        <v>0</v>
      </c>
      <c r="I13" s="258"/>
      <c r="J13" s="258" t="e">
        <f>SUM(#REF!)</f>
        <v>#REF!</v>
      </c>
      <c r="K13" s="258" t="e">
        <f>SUM(#REF!)</f>
        <v>#REF!</v>
      </c>
      <c r="L13" s="258" t="e">
        <f>SUM(#REF!)</f>
        <v>#REF!</v>
      </c>
      <c r="M13" s="258"/>
      <c r="N13" s="258"/>
      <c r="O13" s="463"/>
      <c r="P13" s="450">
        <f>+F13+G13</f>
        <v>0</v>
      </c>
      <c r="Q13" s="451"/>
      <c r="R13" s="451"/>
      <c r="S13" s="452"/>
      <c r="T13" s="452"/>
    </row>
    <row r="14" spans="1:39" s="19" customFormat="1" x14ac:dyDescent="0.2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34"/>
      <c r="O14" s="464"/>
      <c r="P14" s="453"/>
      <c r="Q14" s="453"/>
      <c r="R14" s="453"/>
      <c r="S14" s="453"/>
      <c r="T14" s="453"/>
    </row>
    <row r="15" spans="1:39" s="19" customFormat="1" ht="45" x14ac:dyDescent="0.2">
      <c r="A15" s="486">
        <v>1</v>
      </c>
      <c r="B15" s="486"/>
      <c r="C15" s="631" t="s">
        <v>360</v>
      </c>
      <c r="D15" s="486" t="s">
        <v>38</v>
      </c>
      <c r="E15" s="601" t="s">
        <v>459</v>
      </c>
      <c r="F15" s="602">
        <v>12000000</v>
      </c>
      <c r="G15" s="488"/>
      <c r="H15" s="488"/>
      <c r="I15" s="598" t="s">
        <v>777</v>
      </c>
      <c r="J15" s="546"/>
      <c r="K15" s="547"/>
      <c r="L15" s="547"/>
      <c r="M15" s="553" t="s">
        <v>616</v>
      </c>
      <c r="N15" s="553"/>
      <c r="O15" s="464">
        <v>2</v>
      </c>
      <c r="P15" s="453"/>
      <c r="Q15" s="453"/>
      <c r="R15" s="453"/>
      <c r="S15" s="453"/>
      <c r="T15" s="453"/>
    </row>
    <row r="16" spans="1:39" s="19" customFormat="1" ht="108.75" x14ac:dyDescent="0.2">
      <c r="A16" s="486">
        <v>2</v>
      </c>
      <c r="B16" s="486"/>
      <c r="C16" s="631" t="s">
        <v>360</v>
      </c>
      <c r="D16" s="486" t="s">
        <v>38</v>
      </c>
      <c r="E16" s="601" t="s">
        <v>460</v>
      </c>
      <c r="F16" s="602">
        <v>3458000</v>
      </c>
      <c r="G16" s="488"/>
      <c r="H16" s="488"/>
      <c r="I16" s="598" t="s">
        <v>778</v>
      </c>
      <c r="J16" s="546"/>
      <c r="K16" s="547"/>
      <c r="L16" s="547"/>
      <c r="M16" s="554" t="s">
        <v>779</v>
      </c>
      <c r="N16" s="554"/>
      <c r="O16" s="464">
        <v>2</v>
      </c>
      <c r="P16" s="453"/>
      <c r="Q16" s="453"/>
      <c r="R16" s="453"/>
      <c r="S16" s="453"/>
      <c r="T16" s="453"/>
    </row>
    <row r="17" spans="1:47" s="9" customFormat="1" x14ac:dyDescent="0.2">
      <c r="A17" s="6"/>
      <c r="B17" s="6"/>
      <c r="C17" s="6"/>
      <c r="D17" s="6"/>
      <c r="E17" s="7"/>
      <c r="F17" s="335"/>
      <c r="G17" s="29"/>
      <c r="H17" s="29"/>
      <c r="I17" s="11"/>
      <c r="J17" s="11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47" s="19" customFormat="1" ht="22.5" thickBot="1" x14ac:dyDescent="0.55000000000000004">
      <c r="A18" s="244">
        <f>+A16</f>
        <v>2</v>
      </c>
      <c r="B18" s="244"/>
      <c r="C18" s="244"/>
      <c r="D18" s="244"/>
      <c r="E18" s="245" t="s">
        <v>33</v>
      </c>
      <c r="F18" s="330">
        <f>SUM(F15:F17)</f>
        <v>15458000</v>
      </c>
      <c r="G18" s="246">
        <f>SUM(G15:G17)</f>
        <v>0</v>
      </c>
      <c r="H18" s="246">
        <f>SUM(H15:H17)</f>
        <v>0</v>
      </c>
      <c r="I18" s="259"/>
      <c r="J18" s="259">
        <f>SUM(J15:J17)</f>
        <v>0</v>
      </c>
      <c r="K18" s="259">
        <f>SUM(K15:K17)</f>
        <v>0</v>
      </c>
      <c r="L18" s="259">
        <f>SUM(L15:L17)</f>
        <v>0</v>
      </c>
      <c r="M18" s="259"/>
      <c r="N18" s="259"/>
      <c r="O18" s="462"/>
      <c r="P18" s="455">
        <f>+F18+G18</f>
        <v>15458000</v>
      </c>
      <c r="Q18" s="451"/>
      <c r="R18" s="451"/>
      <c r="S18" s="453"/>
      <c r="T18" s="453"/>
    </row>
    <row r="19" spans="1:47" s="28" customFormat="1" ht="22.5" thickBot="1" x14ac:dyDescent="0.55000000000000004">
      <c r="A19" s="247">
        <f>+A13+A18</f>
        <v>2</v>
      </c>
      <c r="B19" s="248"/>
      <c r="C19" s="248"/>
      <c r="D19" s="248"/>
      <c r="E19" s="248" t="s">
        <v>168</v>
      </c>
      <c r="F19" s="331">
        <f>F13+F18</f>
        <v>15458000</v>
      </c>
      <c r="G19" s="310">
        <f>+G13+G18</f>
        <v>0</v>
      </c>
      <c r="H19" s="310">
        <f>+H13+H18</f>
        <v>0</v>
      </c>
      <c r="I19" s="249"/>
      <c r="J19" s="249" t="e">
        <f>J13+J18</f>
        <v>#REF!</v>
      </c>
      <c r="K19" s="249" t="e">
        <f>K13+K18</f>
        <v>#REF!</v>
      </c>
      <c r="L19" s="249" t="e">
        <f>L13+L18</f>
        <v>#REF!</v>
      </c>
      <c r="M19" s="249"/>
      <c r="N19" s="249"/>
      <c r="O19" s="465"/>
      <c r="P19" s="436">
        <f>+P13+P18</f>
        <v>15458000</v>
      </c>
      <c r="Q19" s="457"/>
      <c r="R19" s="457"/>
      <c r="S19" s="434"/>
      <c r="T19" s="434"/>
      <c r="U19" s="2"/>
      <c r="V19" s="2"/>
      <c r="W19" s="2"/>
      <c r="X19" s="2"/>
      <c r="Y19" s="2"/>
      <c r="Z19" s="2"/>
      <c r="AA19" s="2"/>
      <c r="AB19" s="2"/>
    </row>
    <row r="20" spans="1:47" s="9" customFormat="1" x14ac:dyDescent="0.2">
      <c r="A20" s="15"/>
      <c r="B20" s="15"/>
      <c r="C20" s="15"/>
      <c r="D20" s="15"/>
      <c r="E20" s="31"/>
      <c r="F20" s="104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1" spans="1:47" s="9" customFormat="1" x14ac:dyDescent="0.2">
      <c r="A21" s="15"/>
      <c r="B21" s="15"/>
      <c r="C21" s="15"/>
      <c r="D21" s="15"/>
      <c r="E21" s="31"/>
      <c r="F21" s="104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2" spans="1:47" s="9" customFormat="1" x14ac:dyDescent="0.2">
      <c r="A22" s="15"/>
      <c r="B22" s="15"/>
      <c r="C22" s="15"/>
      <c r="D22" s="15"/>
      <c r="E22" s="31"/>
      <c r="F22" s="104"/>
      <c r="G22" s="20"/>
      <c r="H22" s="20"/>
      <c r="I22" s="20"/>
      <c r="J22" s="20"/>
      <c r="K22" s="104"/>
      <c r="L22" s="104"/>
      <c r="M22" s="20"/>
      <c r="N22" s="20"/>
      <c r="O22" s="445"/>
      <c r="P22" s="437"/>
      <c r="Q22" s="437"/>
      <c r="R22" s="437"/>
      <c r="S22" s="437"/>
      <c r="T22" s="437"/>
    </row>
    <row r="23" spans="1:47" s="9" customFormat="1" x14ac:dyDescent="0.2">
      <c r="A23" s="15"/>
      <c r="B23" s="15"/>
      <c r="C23" s="15"/>
      <c r="D23" s="15"/>
      <c r="E23" s="31"/>
      <c r="F23" s="104"/>
      <c r="G23" s="20"/>
      <c r="H23" s="20"/>
      <c r="I23" s="20"/>
      <c r="J23" s="20"/>
      <c r="K23" s="104"/>
      <c r="L23" s="104"/>
      <c r="M23" s="20"/>
      <c r="N23" s="20"/>
      <c r="O23" s="445"/>
      <c r="P23" s="437"/>
      <c r="Q23" s="437"/>
      <c r="R23" s="437"/>
      <c r="S23" s="437"/>
      <c r="T23" s="437"/>
    </row>
    <row r="24" spans="1:47" s="9" customFormat="1" x14ac:dyDescent="0.2">
      <c r="A24" s="15"/>
      <c r="B24" s="15"/>
      <c r="C24" s="15"/>
      <c r="D24" s="15"/>
      <c r="E24" s="31"/>
      <c r="F24" s="104"/>
      <c r="G24" s="20"/>
      <c r="H24" s="20"/>
      <c r="I24" s="20"/>
      <c r="J24" s="20"/>
      <c r="K24" s="104"/>
      <c r="L24" s="104"/>
      <c r="M24" s="20"/>
      <c r="N24" s="20"/>
      <c r="O24" s="445"/>
      <c r="P24" s="437"/>
      <c r="Q24" s="437"/>
      <c r="R24" s="437"/>
      <c r="S24" s="437"/>
      <c r="T24" s="437"/>
    </row>
    <row r="25" spans="1:47" s="9" customFormat="1" x14ac:dyDescent="0.5">
      <c r="A25" s="15"/>
      <c r="B25" s="15"/>
      <c r="C25" s="15"/>
      <c r="D25" s="15"/>
      <c r="E25" s="31"/>
      <c r="F25" s="261"/>
      <c r="G25" s="20"/>
      <c r="H25" s="20"/>
      <c r="I25" s="20"/>
      <c r="J25" s="20"/>
      <c r="K25" s="104"/>
      <c r="L25" s="104"/>
      <c r="M25" s="20"/>
      <c r="N25" s="20"/>
      <c r="O25" s="445"/>
      <c r="P25" s="437"/>
      <c r="Q25" s="437"/>
      <c r="R25" s="437"/>
      <c r="S25" s="437"/>
      <c r="T25" s="437"/>
    </row>
    <row r="27" spans="1:47" s="23" customFormat="1" ht="22.5" thickBot="1" x14ac:dyDescent="0.55000000000000004">
      <c r="A27" s="22"/>
      <c r="B27" s="22"/>
      <c r="C27" s="22"/>
      <c r="D27" s="22"/>
      <c r="E27" s="81" t="s">
        <v>99</v>
      </c>
      <c r="F27" s="262"/>
      <c r="G27" s="238"/>
      <c r="H27" s="125"/>
      <c r="I27" s="125"/>
      <c r="J27" s="125"/>
      <c r="K27" s="190"/>
      <c r="L27" s="190"/>
      <c r="M27" s="125"/>
      <c r="N27" s="125"/>
      <c r="O27" s="441"/>
      <c r="P27" s="434"/>
      <c r="Q27" s="434"/>
      <c r="R27" s="434"/>
      <c r="S27" s="434"/>
      <c r="T27" s="43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s="23" customFormat="1" ht="22.5" thickTop="1" x14ac:dyDescent="0.5">
      <c r="A28" s="22"/>
      <c r="B28" s="22"/>
      <c r="C28" s="22"/>
      <c r="D28" s="22"/>
      <c r="E28" s="23" t="s">
        <v>25</v>
      </c>
      <c r="F28" s="263"/>
      <c r="G28" s="107"/>
      <c r="H28" s="107"/>
      <c r="I28" s="107"/>
      <c r="J28" s="107"/>
      <c r="K28" s="190"/>
      <c r="L28" s="190"/>
      <c r="M28" s="107"/>
      <c r="N28" s="107"/>
      <c r="O28" s="441"/>
      <c r="P28" s="434"/>
      <c r="Q28" s="434"/>
      <c r="R28" s="434"/>
      <c r="S28" s="434"/>
      <c r="T28" s="43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</row>
    <row r="29" spans="1:47" s="23" customFormat="1" x14ac:dyDescent="0.5">
      <c r="A29" s="22"/>
      <c r="B29" s="22"/>
      <c r="C29" s="22"/>
      <c r="D29" s="22"/>
      <c r="E29" s="23" t="s">
        <v>98</v>
      </c>
      <c r="F29" s="263"/>
      <c r="G29" s="107"/>
      <c r="H29" s="107"/>
      <c r="I29" s="107"/>
      <c r="J29" s="107"/>
      <c r="K29" s="190"/>
      <c r="L29" s="190"/>
      <c r="M29" s="107"/>
      <c r="N29" s="107"/>
      <c r="O29" s="441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  <row r="30" spans="1:47" s="23" customFormat="1" x14ac:dyDescent="0.5">
      <c r="A30" s="22"/>
      <c r="B30" s="22"/>
      <c r="C30" s="22"/>
      <c r="D30" s="22"/>
      <c r="E30" s="23" t="s">
        <v>18</v>
      </c>
      <c r="F30" s="263"/>
      <c r="G30" s="107"/>
      <c r="H30" s="107"/>
      <c r="I30" s="107"/>
      <c r="J30" s="107"/>
      <c r="K30" s="190"/>
      <c r="L30" s="190"/>
      <c r="M30" s="107"/>
      <c r="N30" s="107"/>
      <c r="O30" s="441"/>
      <c r="P30" s="434"/>
      <c r="Q30" s="434"/>
      <c r="R30" s="434"/>
      <c r="S30" s="434"/>
      <c r="T30" s="43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</row>
  </sheetData>
  <autoFilter ref="O1:O30"/>
  <mergeCells count="21">
    <mergeCell ref="A1:N1"/>
    <mergeCell ref="A2:N2"/>
    <mergeCell ref="A3:N3"/>
    <mergeCell ref="J5:J8"/>
    <mergeCell ref="B5:B8"/>
    <mergeCell ref="D5:D8"/>
    <mergeCell ref="E5:E8"/>
    <mergeCell ref="N5:N8"/>
    <mergeCell ref="A5:A8"/>
    <mergeCell ref="R5:R8"/>
    <mergeCell ref="F6:F8"/>
    <mergeCell ref="G6:G8"/>
    <mergeCell ref="C5:C8"/>
    <mergeCell ref="F4:G4"/>
    <mergeCell ref="Q5:Q8"/>
    <mergeCell ref="I5:I8"/>
    <mergeCell ref="F5:H5"/>
    <mergeCell ref="H6:H8"/>
    <mergeCell ref="M5:M8"/>
    <mergeCell ref="K5:K8"/>
    <mergeCell ref="L5:L8"/>
  </mergeCells>
  <conditionalFormatting sqref="F11 F15:F16">
    <cfRule type="cellIs" dxfId="5" priority="2" stopIfTrue="1" operator="between">
      <formula>2000001</formula>
      <formula>500000000</formula>
    </cfRule>
  </conditionalFormatting>
  <pageMargins left="0.74803149606299213" right="0.74803149606299213" top="0.59055118110236227" bottom="0.59055118110236227" header="0.31496062992125984" footer="0.31496062992125984"/>
  <pageSetup paperSize="9" scale="85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"/>
  <sheetViews>
    <sheetView zoomScaleNormal="100" zoomScaleSheetLayoutView="100" workbookViewId="0">
      <selection activeCell="A14" sqref="A14:F14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6.7109375" style="4" customWidth="1"/>
    <col min="7" max="8" width="17.42578125" style="106" customWidth="1"/>
    <col min="9" max="9" width="41.42578125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19.5703125" style="2" bestFit="1" customWidth="1"/>
    <col min="14" max="25" width="9.140625" style="2"/>
    <col min="26" max="16384" width="9.140625" style="1"/>
  </cols>
  <sheetData>
    <row r="1" spans="1:36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5">
      <c r="A3" s="775" t="s">
        <v>149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6" x14ac:dyDescent="0.5">
      <c r="A4" s="1"/>
      <c r="B4" s="1"/>
      <c r="C4" s="1"/>
      <c r="D4" s="1"/>
      <c r="F4" s="781"/>
      <c r="G4" s="781"/>
      <c r="H4" s="3"/>
      <c r="I4" s="3"/>
      <c r="J4" s="5"/>
      <c r="N4" s="239"/>
      <c r="O4" s="239"/>
    </row>
    <row r="5" spans="1:36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480</v>
      </c>
      <c r="J5" s="767" t="s">
        <v>122</v>
      </c>
      <c r="K5" s="767" t="s">
        <v>121</v>
      </c>
      <c r="L5" s="776" t="s">
        <v>123</v>
      </c>
      <c r="N5" s="766" t="s">
        <v>142</v>
      </c>
      <c r="O5" s="766" t="s">
        <v>150</v>
      </c>
    </row>
    <row r="6" spans="1:36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N6" s="766"/>
      <c r="O6" s="766"/>
    </row>
    <row r="7" spans="1:36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N7" s="766"/>
      <c r="O7" s="766"/>
    </row>
    <row r="8" spans="1:36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N8" s="766"/>
      <c r="O8" s="766"/>
    </row>
    <row r="9" spans="1:36" x14ac:dyDescent="0.5">
      <c r="A9" s="12"/>
      <c r="B9" s="12"/>
      <c r="C9" s="12"/>
      <c r="D9" s="12"/>
      <c r="E9" s="32" t="s">
        <v>32</v>
      </c>
      <c r="F9" s="12"/>
      <c r="G9" s="105"/>
      <c r="H9" s="105"/>
      <c r="I9" s="105"/>
      <c r="J9" s="105"/>
      <c r="K9" s="189"/>
      <c r="L9" s="189"/>
    </row>
    <row r="10" spans="1:36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</row>
    <row r="11" spans="1:36" s="304" customFormat="1" x14ac:dyDescent="0.2">
      <c r="A11" s="271"/>
      <c r="B11" s="271"/>
      <c r="C11" s="370"/>
      <c r="D11" s="271"/>
      <c r="E11" s="368"/>
      <c r="F11" s="367"/>
      <c r="G11" s="269"/>
      <c r="H11" s="269"/>
      <c r="I11" s="269"/>
      <c r="J11" s="269"/>
      <c r="K11" s="287"/>
      <c r="L11" s="287"/>
    </row>
    <row r="12" spans="1:36" s="304" customFormat="1" x14ac:dyDescent="0.2">
      <c r="A12" s="271"/>
      <c r="B12" s="271"/>
      <c r="C12" s="370"/>
      <c r="D12" s="271"/>
      <c r="E12" s="368"/>
      <c r="F12" s="367"/>
      <c r="G12" s="269"/>
      <c r="H12" s="269"/>
      <c r="I12" s="269"/>
      <c r="J12" s="269"/>
      <c r="K12" s="287"/>
      <c r="L12" s="287"/>
    </row>
    <row r="13" spans="1:36" s="304" customFormat="1" x14ac:dyDescent="0.2">
      <c r="A13" s="271"/>
      <c r="B13" s="271"/>
      <c r="C13" s="370"/>
      <c r="D13" s="271"/>
      <c r="E13" s="368"/>
      <c r="F13" s="367"/>
      <c r="G13" s="269"/>
      <c r="H13" s="269"/>
      <c r="I13" s="269"/>
      <c r="J13" s="269"/>
      <c r="K13" s="287"/>
      <c r="L13" s="287"/>
    </row>
    <row r="14" spans="1:36" s="9" customFormat="1" x14ac:dyDescent="0.2">
      <c r="A14" s="271"/>
      <c r="B14" s="271"/>
      <c r="C14" s="370"/>
      <c r="D14" s="271"/>
      <c r="E14" s="368"/>
      <c r="F14" s="367"/>
      <c r="G14" s="269"/>
      <c r="H14" s="269"/>
      <c r="I14" s="269"/>
      <c r="J14" s="11"/>
      <c r="K14" s="10"/>
      <c r="L14" s="10"/>
    </row>
    <row r="15" spans="1:36" s="9" customFormat="1" x14ac:dyDescent="0.2">
      <c r="A15" s="6"/>
      <c r="B15" s="13"/>
      <c r="C15" s="13"/>
      <c r="D15" s="13"/>
      <c r="E15" s="7"/>
      <c r="F15" s="16"/>
      <c r="G15" s="11"/>
      <c r="H15" s="11"/>
      <c r="I15" s="11"/>
      <c r="J15" s="11"/>
      <c r="K15" s="10"/>
      <c r="L15" s="10"/>
    </row>
    <row r="16" spans="1:36" s="14" customFormat="1" ht="22.5" thickBot="1" x14ac:dyDescent="0.55000000000000004">
      <c r="A16" s="241">
        <f>+A14</f>
        <v>0</v>
      </c>
      <c r="B16" s="241"/>
      <c r="C16" s="241"/>
      <c r="D16" s="241"/>
      <c r="E16" s="242" t="s">
        <v>47</v>
      </c>
      <c r="F16" s="329">
        <f>SUM(F11:F15)</f>
        <v>0</v>
      </c>
      <c r="G16" s="243">
        <f>SUM(G15:G15)</f>
        <v>0</v>
      </c>
      <c r="H16" s="243">
        <f>SUM(H15:H15)</f>
        <v>0</v>
      </c>
      <c r="I16" s="243"/>
      <c r="J16" s="243">
        <f>SUM(J15:J15)</f>
        <v>0</v>
      </c>
      <c r="K16" s="243">
        <f>SUM(K15:K15)</f>
        <v>0</v>
      </c>
      <c r="L16" s="243">
        <f>SUM(L15:L15)</f>
        <v>0</v>
      </c>
      <c r="M16" s="144">
        <f>+F16+G16</f>
        <v>0</v>
      </c>
      <c r="N16" s="240"/>
      <c r="O16" s="240"/>
    </row>
    <row r="17" spans="1:44" s="19" customFormat="1" hidden="1" x14ac:dyDescent="0.2">
      <c r="A17" s="17"/>
      <c r="B17" s="17"/>
      <c r="C17" s="17"/>
      <c r="D17" s="17"/>
      <c r="E17" s="30" t="s">
        <v>10</v>
      </c>
      <c r="F17" s="336"/>
      <c r="G17" s="34"/>
      <c r="H17" s="34"/>
      <c r="I17" s="34"/>
      <c r="J17" s="34"/>
      <c r="K17" s="18"/>
      <c r="L17" s="18"/>
    </row>
    <row r="18" spans="1:44" s="19" customFormat="1" hidden="1" x14ac:dyDescent="0.2">
      <c r="A18" s="271"/>
      <c r="B18" s="271"/>
      <c r="C18" s="369"/>
      <c r="D18" s="271"/>
      <c r="E18" s="361"/>
      <c r="F18" s="367"/>
      <c r="G18" s="269"/>
      <c r="H18" s="269"/>
      <c r="I18" s="269"/>
      <c r="J18" s="34"/>
      <c r="K18" s="18"/>
      <c r="L18" s="18"/>
    </row>
    <row r="19" spans="1:44" s="19" customFormat="1" hidden="1" x14ac:dyDescent="0.2">
      <c r="A19" s="271"/>
      <c r="B19" s="271"/>
      <c r="C19" s="369"/>
      <c r="D19" s="271"/>
      <c r="E19" s="361"/>
      <c r="F19" s="367"/>
      <c r="G19" s="269"/>
      <c r="H19" s="269"/>
      <c r="I19" s="269"/>
      <c r="J19" s="34"/>
      <c r="K19" s="18"/>
      <c r="L19" s="18"/>
    </row>
    <row r="20" spans="1:44" s="9" customFormat="1" hidden="1" x14ac:dyDescent="0.2">
      <c r="A20" s="6"/>
      <c r="B20" s="6"/>
      <c r="C20" s="6"/>
      <c r="D20" s="6"/>
      <c r="E20" s="7"/>
      <c r="F20" s="335"/>
      <c r="G20" s="11"/>
      <c r="H20" s="11"/>
      <c r="I20" s="11"/>
      <c r="J20" s="11"/>
      <c r="K20" s="10"/>
      <c r="L20" s="10"/>
    </row>
    <row r="21" spans="1:44" s="19" customFormat="1" ht="22.5" hidden="1" thickBot="1" x14ac:dyDescent="0.55000000000000004">
      <c r="A21" s="244">
        <f>+A19</f>
        <v>0</v>
      </c>
      <c r="B21" s="244"/>
      <c r="C21" s="244"/>
      <c r="D21" s="244"/>
      <c r="E21" s="245" t="s">
        <v>33</v>
      </c>
      <c r="F21" s="330">
        <f>SUM(F18:F20)</f>
        <v>0</v>
      </c>
      <c r="G21" s="246">
        <f>SUM(G18:G20)</f>
        <v>0</v>
      </c>
      <c r="H21" s="246">
        <f>SUM(H18:H20)</f>
        <v>0</v>
      </c>
      <c r="I21" s="246"/>
      <c r="J21" s="246">
        <f>SUM(J18:J20)</f>
        <v>0</v>
      </c>
      <c r="K21" s="246">
        <f>SUM(K18:K20)</f>
        <v>0</v>
      </c>
      <c r="L21" s="246">
        <f>SUM(L18:L20)</f>
        <v>0</v>
      </c>
      <c r="M21" s="145">
        <f>+F21+G21</f>
        <v>0</v>
      </c>
      <c r="N21" s="240"/>
      <c r="O21" s="240"/>
    </row>
    <row r="22" spans="1:44" s="28" customFormat="1" ht="22.5" thickBot="1" x14ac:dyDescent="0.55000000000000004">
      <c r="A22" s="247">
        <f>+A16+A21</f>
        <v>0</v>
      </c>
      <c r="B22" s="248"/>
      <c r="C22" s="248"/>
      <c r="D22" s="248"/>
      <c r="E22" s="248" t="s">
        <v>120</v>
      </c>
      <c r="F22" s="331">
        <f>F16+F21</f>
        <v>0</v>
      </c>
      <c r="G22" s="249">
        <f>+G16+G21</f>
        <v>0</v>
      </c>
      <c r="H22" s="249">
        <f>+H16+H21</f>
        <v>0</v>
      </c>
      <c r="I22" s="249"/>
      <c r="J22" s="249">
        <f>J16+J21</f>
        <v>0</v>
      </c>
      <c r="K22" s="249">
        <f>K16+K21</f>
        <v>0</v>
      </c>
      <c r="L22" s="249">
        <f>L16+L21</f>
        <v>0</v>
      </c>
      <c r="M22" s="146">
        <f>+M16+M21</f>
        <v>0</v>
      </c>
      <c r="N22" s="250"/>
      <c r="O22" s="250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44" s="9" customFormat="1" x14ac:dyDescent="0.2">
      <c r="A23" s="15"/>
      <c r="B23" s="15"/>
      <c r="C23" s="15"/>
      <c r="D23" s="15"/>
      <c r="E23" s="31"/>
      <c r="F23" s="21"/>
      <c r="G23" s="20"/>
      <c r="H23" s="20"/>
      <c r="I23" s="20"/>
      <c r="J23" s="20"/>
      <c r="K23" s="104"/>
      <c r="L23" s="104"/>
    </row>
    <row r="24" spans="1:44" s="9" customFormat="1" x14ac:dyDescent="0.5">
      <c r="A24" s="15"/>
      <c r="B24" s="15"/>
      <c r="C24" s="15"/>
      <c r="D24" s="15"/>
      <c r="E24" s="31" t="s">
        <v>201</v>
      </c>
      <c r="F24" s="344">
        <f>SUM(บช.น.!F16+ภ.1!F13+ภ.2!F18+ภ.4!F15+ภ.6!F17+ภ.7!F15+ภ.9!F18+ศชต.!F21+บช.ก.!F29+บช.ปส.!F27+บช.ส.!F15+สตม.!F22+บช.ตชด.!F22+สง.นรป.!F13+สพฐ.ตร.!F13+สทส.!F19+บช.ศ.!F25+รร.นรต.!F14+รพ.ตร.!F14+สยศ.ตร.!F14+สกบ.!F42+สกพ.!F13+สงป.!F14+กมค.!F16+สง.ก.ตร.!F13+จต.!F13+สตส.!F13+สท.!F19+สง.ก.ต.ช.!F13+บ.ตร.!F17+วน.!F13)</f>
        <v>3024230500</v>
      </c>
      <c r="G24" s="20" t="s">
        <v>207</v>
      </c>
      <c r="H24" s="20"/>
      <c r="I24" s="20"/>
      <c r="J24" s="345">
        <f>SUM(บช.น.!A16+ภ.1!A13+ภ.2!A18+ภ.4!A15+ภ.6!A17+ภ.7!A15+ภ.9!A18+ศชต.!A21+ภ.5!A24+ภ.8!A27+บช.ก.!A29+บช.ปส.!A27+บช.ส.!A15+สตม.!A22+บช.ตชด.!A22+สง.นรป.!A13+สพฐ.ตร.!A13+สทส.!A19+บช.ศ.!A25+รร.นรต.!A14+รพ.ตร.!A14+สยศ.ตร.!A14+สกบ.!A42+สกพ.!A13+สงป.!A14+กมค.!A16+สง.ก.ตร.!A13+จต.!A13+สตส.!A13+สท.!A19+สง.ก.ต.ช.!A13+บ.ตร.!A17+วน.!A13+สลก.ตร.!A14+ตท.!A16)</f>
        <v>175</v>
      </c>
      <c r="K24" s="104"/>
      <c r="L24" s="104"/>
    </row>
    <row r="25" spans="1:44" x14ac:dyDescent="0.5">
      <c r="E25" s="343" t="s">
        <v>202</v>
      </c>
      <c r="F25" s="4">
        <f>SUM(บช.น.!F21+ภ.1!F17+ภ.2!F24+ภ.3!F21+ภ.4!F19+ภ.5!F32+ภ.6!F32+ภ.7!F19+ภ.8!F35+ภ.9!F24+ศชต.!F38+บช.ก.!F33+บช.ส.!F21+สตม.!F33+บช.ตชด.!F54+สพฐ.ตร.!F18+สทส.!F24+บช.ศ.!F37+รพ.ตร.!F18+สกบ.!F52+สกพ.!F18+กมค.!F21+บ.ตร.!F24)</f>
        <v>1576395100</v>
      </c>
      <c r="G25" s="20" t="s">
        <v>207</v>
      </c>
      <c r="H25" s="20"/>
      <c r="I25" s="20"/>
      <c r="J25" s="346">
        <f>SUM(บช.น.!A21+ภ.1!A17+ภ.2!A24+ภ.3!A21+ภ.4!A19+ภ.5!A32+ภ.6!A32+ภ.7!A19+ภ.8!A35+ภ.9!A24+ศชต.!A38+บช.ก.!A33+บช.ปส.!A42+บช.ส.!A21+สตม.!A33+บช.ตชด.!A54+สง.นรป.!A17+สพฐ.ตร.!A18+สทส.!A24+บช.ศ.!A37+รร.นรต.!A18+รพ.ตร.!A18+สยศ.ตร.!A18+สกบ.!A52+สกพ.!A18+สงป.!A18+กมค.!A21+สง.ก.ตร.!A17+จต.!A17+สตส.!A17+สลก.ตร.!A18+ตท.!A20+สท.!A23+สง.ก.ต.ช.!A17+บ.ตร.!A24+วน.!A17)</f>
        <v>116</v>
      </c>
    </row>
    <row r="26" spans="1:44" s="23" customFormat="1" ht="22.5" thickBot="1" x14ac:dyDescent="0.55000000000000004">
      <c r="A26" s="22"/>
      <c r="B26" s="22"/>
      <c r="C26" s="22"/>
      <c r="D26" s="22"/>
      <c r="E26" s="81" t="s">
        <v>99</v>
      </c>
      <c r="F26" s="82"/>
      <c r="G26" s="238"/>
      <c r="H26" s="125"/>
      <c r="I26" s="125"/>
      <c r="J26" s="125"/>
      <c r="K26" s="190"/>
      <c r="L26" s="190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4" s="23" customFormat="1" ht="22.5" thickTop="1" x14ac:dyDescent="0.5">
      <c r="A27" s="22"/>
      <c r="B27" s="22"/>
      <c r="C27" s="22"/>
      <c r="D27" s="22"/>
      <c r="E27" s="23" t="s">
        <v>25</v>
      </c>
      <c r="F27" s="25"/>
      <c r="G27" s="107"/>
      <c r="H27" s="107"/>
      <c r="I27" s="107"/>
      <c r="J27" s="107"/>
      <c r="K27" s="190"/>
      <c r="L27" s="190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44" s="23" customFormat="1" x14ac:dyDescent="0.5">
      <c r="A28" s="22"/>
      <c r="B28" s="22"/>
      <c r="C28" s="22"/>
      <c r="D28" s="22"/>
      <c r="E28" s="23" t="s">
        <v>98</v>
      </c>
      <c r="F28" s="25"/>
      <c r="G28" s="107"/>
      <c r="H28" s="107"/>
      <c r="I28" s="107"/>
      <c r="J28" s="107"/>
      <c r="K28" s="190"/>
      <c r="L28" s="190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44" s="23" customFormat="1" x14ac:dyDescent="0.5">
      <c r="A29" s="22"/>
      <c r="B29" s="22"/>
      <c r="C29" s="22"/>
      <c r="D29" s="22"/>
      <c r="E29" s="23" t="s">
        <v>18</v>
      </c>
      <c r="F29" s="25"/>
      <c r="G29" s="107"/>
      <c r="H29" s="107"/>
      <c r="I29" s="107"/>
      <c r="J29" s="107"/>
      <c r="K29" s="190"/>
      <c r="L29" s="190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</row>
  </sheetData>
  <mergeCells count="19">
    <mergeCell ref="A5:A8"/>
    <mergeCell ref="A1:L1"/>
    <mergeCell ref="A2:L2"/>
    <mergeCell ref="A3:L3"/>
    <mergeCell ref="K5:K8"/>
    <mergeCell ref="L5:L8"/>
    <mergeCell ref="F6:F8"/>
    <mergeCell ref="C5:C8"/>
    <mergeCell ref="G6:G8"/>
    <mergeCell ref="F4:G4"/>
    <mergeCell ref="N5:N8"/>
    <mergeCell ref="O5:O8"/>
    <mergeCell ref="J5:J8"/>
    <mergeCell ref="B5:B8"/>
    <mergeCell ref="D5:D8"/>
    <mergeCell ref="E5:E8"/>
    <mergeCell ref="I5:I8"/>
    <mergeCell ref="F5:H5"/>
    <mergeCell ref="H6:H8"/>
  </mergeCells>
  <pageMargins left="0.70866141732283472" right="0.70866141732283472" top="0.74803149606299213" bottom="0.74803149606299213" header="0.31496062992125984" footer="0.31496062992125984"/>
  <pageSetup paperSize="9" scale="90" orientation="landscape" blackAndWhite="1" r:id="rId1"/>
  <rowBreaks count="1" manualBreakCount="1">
    <brk id="2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zoomScaleNormal="100" zoomScaleSheetLayoutView="100" workbookViewId="0">
      <selection activeCell="G11" sqref="G11"/>
    </sheetView>
  </sheetViews>
  <sheetFormatPr defaultRowHeight="21.75" x14ac:dyDescent="0.5"/>
  <cols>
    <col min="1" max="2" width="5.85546875" style="3" customWidth="1"/>
    <col min="3" max="3" width="7.140625" style="3" customWidth="1"/>
    <col min="4" max="4" width="6.42578125" style="3" customWidth="1"/>
    <col min="5" max="5" width="45" style="1" bestFit="1" customWidth="1"/>
    <col min="6" max="6" width="12.85546875" style="264" customWidth="1"/>
    <col min="7" max="7" width="13.5703125" style="106" customWidth="1"/>
    <col min="8" max="8" width="13.5703125" style="106" hidden="1" customWidth="1"/>
    <col min="9" max="9" width="30.85546875" style="106" customWidth="1"/>
    <col min="10" max="10" width="0.28515625" style="106" hidden="1" customWidth="1"/>
    <col min="11" max="11" width="12.85546875" style="156" hidden="1" customWidth="1"/>
    <col min="12" max="12" width="4.28515625" style="156" hidden="1" customWidth="1"/>
    <col min="13" max="13" width="30.85546875" style="106" customWidth="1"/>
    <col min="14" max="14" width="5.42578125" style="441" customWidth="1"/>
    <col min="15" max="15" width="19.5703125" style="434" bestFit="1" customWidth="1"/>
    <col min="16" max="16" width="9.140625" style="434"/>
    <col min="17" max="17" width="12.42578125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460"/>
      <c r="Q1" s="434" t="s">
        <v>524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460"/>
      <c r="O2" s="435" t="s">
        <v>522</v>
      </c>
      <c r="P2" s="434">
        <v>12</v>
      </c>
      <c r="Q2" s="436">
        <f>SUM(F11:F12)</f>
        <v>0</v>
      </c>
      <c r="R2" s="436" t="s">
        <v>209</v>
      </c>
      <c r="S2" s="434" t="s">
        <v>209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75" t="s">
        <v>539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460"/>
      <c r="O3" s="437" t="s">
        <v>523</v>
      </c>
      <c r="P3" s="438" t="s">
        <v>209</v>
      </c>
      <c r="Q3" s="439" t="s">
        <v>209</v>
      </c>
      <c r="R3" s="440" t="s">
        <v>209</v>
      </c>
      <c r="S3" s="439" t="s">
        <v>209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O4" s="434" t="s">
        <v>536</v>
      </c>
      <c r="P4" s="442" t="s">
        <v>209</v>
      </c>
      <c r="Q4" s="442" t="s">
        <v>209</v>
      </c>
      <c r="R4" s="434" t="s">
        <v>209</v>
      </c>
      <c r="S4" s="434" t="s">
        <v>209</v>
      </c>
    </row>
    <row r="5" spans="1:38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462"/>
      <c r="P5" s="788" t="s">
        <v>142</v>
      </c>
      <c r="Q5" s="788" t="s">
        <v>150</v>
      </c>
    </row>
    <row r="6" spans="1:38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462"/>
      <c r="P6" s="788"/>
      <c r="Q6" s="788"/>
    </row>
    <row r="7" spans="1:38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462"/>
      <c r="P7" s="788"/>
      <c r="Q7" s="788"/>
    </row>
    <row r="8" spans="1:38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462"/>
      <c r="P8" s="788"/>
      <c r="Q8" s="788"/>
    </row>
    <row r="9" spans="1:38" x14ac:dyDescent="0.5">
      <c r="A9" s="12"/>
      <c r="B9" s="12"/>
      <c r="C9" s="12"/>
      <c r="D9" s="12"/>
      <c r="E9" s="32" t="s">
        <v>130</v>
      </c>
      <c r="F9" s="256"/>
      <c r="G9" s="105"/>
      <c r="H9" s="105"/>
      <c r="I9" s="105"/>
      <c r="J9" s="105"/>
      <c r="K9" s="189"/>
      <c r="L9" s="189"/>
      <c r="M9" s="105"/>
    </row>
    <row r="10" spans="1:38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445"/>
      <c r="O10" s="437"/>
      <c r="P10" s="437"/>
      <c r="Q10" s="437"/>
      <c r="R10" s="437"/>
      <c r="S10" s="437"/>
    </row>
    <row r="11" spans="1:38" s="304" customFormat="1" x14ac:dyDescent="0.2">
      <c r="A11" s="271"/>
      <c r="B11" s="271"/>
      <c r="C11" s="370"/>
      <c r="D11" s="271"/>
      <c r="E11" s="273"/>
      <c r="F11" s="269"/>
      <c r="G11" s="269"/>
      <c r="H11" s="269"/>
      <c r="I11" s="269"/>
      <c r="J11" s="269"/>
      <c r="K11" s="287"/>
      <c r="L11" s="287"/>
      <c r="M11" s="269"/>
      <c r="N11" s="447">
        <v>1</v>
      </c>
      <c r="O11" s="448"/>
      <c r="P11" s="448"/>
      <c r="Q11" s="448"/>
      <c r="R11" s="448"/>
      <c r="S11" s="448"/>
    </row>
    <row r="12" spans="1:38" s="304" customFormat="1" x14ac:dyDescent="0.2">
      <c r="A12" s="271"/>
      <c r="B12" s="271"/>
      <c r="C12" s="370"/>
      <c r="D12" s="271"/>
      <c r="E12" s="273"/>
      <c r="F12" s="269"/>
      <c r="G12" s="269"/>
      <c r="H12" s="269"/>
      <c r="I12" s="269"/>
      <c r="J12" s="269"/>
      <c r="K12" s="287"/>
      <c r="L12" s="287"/>
      <c r="M12" s="269"/>
      <c r="N12" s="447">
        <v>1</v>
      </c>
      <c r="O12" s="448"/>
      <c r="P12" s="448"/>
      <c r="Q12" s="448"/>
      <c r="R12" s="448"/>
      <c r="S12" s="448"/>
    </row>
    <row r="13" spans="1:38" s="9" customFormat="1" x14ac:dyDescent="0.2">
      <c r="A13" s="6"/>
      <c r="B13" s="6"/>
      <c r="C13" s="6"/>
      <c r="D13" s="6"/>
      <c r="E13" s="17"/>
      <c r="F13" s="11"/>
      <c r="G13" s="11"/>
      <c r="H13" s="11"/>
      <c r="I13" s="11"/>
      <c r="J13" s="11"/>
      <c r="K13" s="10"/>
      <c r="L13" s="10"/>
      <c r="M13" s="11"/>
      <c r="N13" s="445"/>
      <c r="O13" s="437"/>
      <c r="P13" s="437"/>
      <c r="Q13" s="437"/>
      <c r="R13" s="437"/>
      <c r="S13" s="437"/>
    </row>
    <row r="14" spans="1:38" s="14" customFormat="1" ht="22.5" thickBot="1" x14ac:dyDescent="0.55000000000000004">
      <c r="A14" s="241">
        <f>+A12</f>
        <v>0</v>
      </c>
      <c r="B14" s="241"/>
      <c r="C14" s="241"/>
      <c r="D14" s="241"/>
      <c r="E14" s="242" t="s">
        <v>47</v>
      </c>
      <c r="F14" s="258">
        <f>SUM(F11:F13)</f>
        <v>0</v>
      </c>
      <c r="G14" s="258">
        <f>SUM(G11:G13)</f>
        <v>0</v>
      </c>
      <c r="H14" s="258">
        <f>SUM(H11:H13)</f>
        <v>0</v>
      </c>
      <c r="I14" s="258"/>
      <c r="J14" s="258">
        <f>SUM(J13:J13)</f>
        <v>0</v>
      </c>
      <c r="K14" s="258">
        <f>SUM(K13:K13)</f>
        <v>0</v>
      </c>
      <c r="L14" s="258">
        <f>SUM(L13:L13)</f>
        <v>0</v>
      </c>
      <c r="M14" s="258"/>
      <c r="N14" s="463"/>
      <c r="O14" s="450">
        <f>+F14+G14</f>
        <v>0</v>
      </c>
      <c r="P14" s="451"/>
      <c r="Q14" s="451"/>
      <c r="R14" s="452"/>
      <c r="S14" s="452"/>
    </row>
    <row r="15" spans="1:38" s="19" customFormat="1" ht="22.5" hidden="1" thickBot="1" x14ac:dyDescent="0.25">
      <c r="A15" s="17"/>
      <c r="B15" s="17"/>
      <c r="C15" s="17"/>
      <c r="D15" s="17"/>
      <c r="E15" s="30" t="s">
        <v>10</v>
      </c>
      <c r="F15" s="34"/>
      <c r="G15" s="34"/>
      <c r="H15" s="34"/>
      <c r="I15" s="34"/>
      <c r="J15" s="34"/>
      <c r="K15" s="18"/>
      <c r="L15" s="18"/>
      <c r="M15" s="34"/>
      <c r="N15" s="464"/>
      <c r="O15" s="453"/>
      <c r="P15" s="453"/>
      <c r="Q15" s="453"/>
      <c r="R15" s="453"/>
      <c r="S15" s="453"/>
    </row>
    <row r="16" spans="1:38" s="19" customFormat="1" ht="22.5" hidden="1" thickBot="1" x14ac:dyDescent="0.25">
      <c r="A16" s="17"/>
      <c r="B16" s="17"/>
      <c r="C16" s="17"/>
      <c r="D16" s="17"/>
      <c r="E16" s="30"/>
      <c r="F16" s="34"/>
      <c r="G16" s="34"/>
      <c r="H16" s="34"/>
      <c r="I16" s="34"/>
      <c r="J16" s="34"/>
      <c r="K16" s="18"/>
      <c r="L16" s="18"/>
      <c r="M16" s="34"/>
      <c r="N16" s="464"/>
      <c r="O16" s="453"/>
      <c r="P16" s="453"/>
      <c r="Q16" s="453"/>
      <c r="R16" s="453"/>
      <c r="S16" s="453"/>
    </row>
    <row r="17" spans="1:46" s="9" customFormat="1" ht="22.5" hidden="1" thickBot="1" x14ac:dyDescent="0.25">
      <c r="A17" s="6"/>
      <c r="B17" s="6"/>
      <c r="C17" s="6"/>
      <c r="D17" s="6"/>
      <c r="E17" s="7"/>
      <c r="F17" s="10"/>
      <c r="G17" s="11"/>
      <c r="H17" s="11"/>
      <c r="I17" s="11"/>
      <c r="J17" s="11"/>
      <c r="K17" s="10"/>
      <c r="L17" s="10"/>
      <c r="M17" s="11"/>
      <c r="N17" s="445"/>
      <c r="O17" s="437"/>
      <c r="P17" s="437"/>
      <c r="Q17" s="437"/>
      <c r="R17" s="437"/>
      <c r="S17" s="437"/>
    </row>
    <row r="18" spans="1:46" s="19" customFormat="1" ht="22.5" hidden="1" thickBot="1" x14ac:dyDescent="0.55000000000000004">
      <c r="A18" s="244"/>
      <c r="B18" s="244"/>
      <c r="C18" s="244"/>
      <c r="D18" s="244"/>
      <c r="E18" s="245" t="s">
        <v>33</v>
      </c>
      <c r="F18" s="259">
        <f>SUM(F16:F17)</f>
        <v>0</v>
      </c>
      <c r="G18" s="259">
        <f>SUM(G16:G17)</f>
        <v>0</v>
      </c>
      <c r="H18" s="259">
        <f>SUM(H16:H17)</f>
        <v>0</v>
      </c>
      <c r="I18" s="259"/>
      <c r="J18" s="259">
        <f>SUM(J16:J17)</f>
        <v>0</v>
      </c>
      <c r="K18" s="259">
        <f>SUM(K16:K17)</f>
        <v>0</v>
      </c>
      <c r="L18" s="259">
        <f>SUM(L16:L17)</f>
        <v>0</v>
      </c>
      <c r="M18" s="259"/>
      <c r="N18" s="462"/>
      <c r="O18" s="455">
        <f>+F18+G18</f>
        <v>0</v>
      </c>
      <c r="P18" s="451"/>
      <c r="Q18" s="451"/>
      <c r="R18" s="453"/>
      <c r="S18" s="453"/>
    </row>
    <row r="19" spans="1:46" s="28" customFormat="1" ht="22.5" thickBot="1" x14ac:dyDescent="0.55000000000000004">
      <c r="A19" s="247">
        <f>+A14+A18</f>
        <v>0</v>
      </c>
      <c r="B19" s="248"/>
      <c r="C19" s="248"/>
      <c r="D19" s="248"/>
      <c r="E19" s="248" t="s">
        <v>169</v>
      </c>
      <c r="F19" s="260">
        <f>F14+F18</f>
        <v>0</v>
      </c>
      <c r="G19" s="249">
        <f>+G14+G18</f>
        <v>0</v>
      </c>
      <c r="H19" s="249">
        <f>+H14+H18</f>
        <v>0</v>
      </c>
      <c r="I19" s="249"/>
      <c r="J19" s="249">
        <f>J14+J18</f>
        <v>0</v>
      </c>
      <c r="K19" s="249">
        <f>K14+K18</f>
        <v>0</v>
      </c>
      <c r="L19" s="249">
        <f>L14+L18</f>
        <v>0</v>
      </c>
      <c r="M19" s="249"/>
      <c r="N19" s="465"/>
      <c r="O19" s="436">
        <f>+O14+O18</f>
        <v>0</v>
      </c>
      <c r="P19" s="457"/>
      <c r="Q19" s="457"/>
      <c r="R19" s="434"/>
      <c r="S19" s="434"/>
      <c r="T19" s="2"/>
      <c r="U19" s="2"/>
      <c r="V19" s="2"/>
      <c r="W19" s="2"/>
      <c r="X19" s="2"/>
      <c r="Y19" s="2"/>
      <c r="Z19" s="2"/>
      <c r="AA19" s="2"/>
    </row>
    <row r="20" spans="1:46" s="9" customFormat="1" x14ac:dyDescent="0.2">
      <c r="A20" s="15"/>
      <c r="B20" s="15"/>
      <c r="C20" s="15"/>
      <c r="D20" s="15"/>
      <c r="E20" s="31"/>
      <c r="F20" s="104"/>
      <c r="G20" s="20"/>
      <c r="H20" s="20"/>
      <c r="I20" s="20"/>
      <c r="J20" s="20"/>
      <c r="K20" s="104"/>
      <c r="L20" s="104"/>
      <c r="M20" s="20"/>
      <c r="N20" s="445"/>
      <c r="O20" s="437"/>
      <c r="P20" s="437"/>
      <c r="Q20" s="437"/>
      <c r="R20" s="437"/>
      <c r="S20" s="437"/>
    </row>
    <row r="21" spans="1:46" s="9" customFormat="1" x14ac:dyDescent="0.5">
      <c r="A21" s="15"/>
      <c r="B21" s="15"/>
      <c r="C21" s="15"/>
      <c r="D21" s="15"/>
      <c r="E21" s="31"/>
      <c r="F21" s="261"/>
      <c r="G21" s="20"/>
      <c r="H21" s="20"/>
      <c r="I21" s="20"/>
      <c r="J21" s="20"/>
      <c r="K21" s="104"/>
      <c r="L21" s="104"/>
      <c r="M21" s="20"/>
      <c r="N21" s="445"/>
      <c r="O21" s="437"/>
      <c r="P21" s="437"/>
      <c r="Q21" s="437"/>
      <c r="R21" s="437"/>
      <c r="S21" s="437"/>
    </row>
    <row r="23" spans="1:46" s="23" customFormat="1" ht="22.5" thickBot="1" x14ac:dyDescent="0.55000000000000004">
      <c r="A23" s="22"/>
      <c r="B23" s="22"/>
      <c r="C23" s="22"/>
      <c r="D23" s="22"/>
      <c r="E23" s="81" t="s">
        <v>99</v>
      </c>
      <c r="F23" s="262"/>
      <c r="G23" s="238"/>
      <c r="H23" s="125"/>
      <c r="I23" s="125"/>
      <c r="J23" s="125"/>
      <c r="K23" s="190"/>
      <c r="L23" s="190"/>
      <c r="M23" s="125"/>
      <c r="N23" s="441"/>
      <c r="O23" s="434"/>
      <c r="P23" s="434"/>
      <c r="Q23" s="434"/>
      <c r="R23" s="434"/>
      <c r="S23" s="43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3" customFormat="1" ht="22.5" thickTop="1" x14ac:dyDescent="0.5">
      <c r="A24" s="22"/>
      <c r="B24" s="22"/>
      <c r="C24" s="22"/>
      <c r="D24" s="22"/>
      <c r="E24" s="23" t="s">
        <v>25</v>
      </c>
      <c r="F24" s="263"/>
      <c r="G24" s="107"/>
      <c r="H24" s="107"/>
      <c r="I24" s="107"/>
      <c r="J24" s="107"/>
      <c r="K24" s="190"/>
      <c r="L24" s="190"/>
      <c r="M24" s="107"/>
      <c r="N24" s="441"/>
      <c r="O24" s="434"/>
      <c r="P24" s="434"/>
      <c r="Q24" s="434"/>
      <c r="R24" s="434"/>
      <c r="S24" s="43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23" customFormat="1" x14ac:dyDescent="0.5">
      <c r="A25" s="22"/>
      <c r="B25" s="22"/>
      <c r="C25" s="22"/>
      <c r="D25" s="22"/>
      <c r="E25" s="23" t="s">
        <v>98</v>
      </c>
      <c r="F25" s="263"/>
      <c r="G25" s="107"/>
      <c r="H25" s="107"/>
      <c r="I25" s="107"/>
      <c r="J25" s="107"/>
      <c r="K25" s="190"/>
      <c r="L25" s="190"/>
      <c r="M25" s="107"/>
      <c r="N25" s="441"/>
      <c r="O25" s="434"/>
      <c r="P25" s="434"/>
      <c r="Q25" s="434"/>
      <c r="R25" s="434"/>
      <c r="S25" s="43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  <row r="26" spans="1:46" s="23" customFormat="1" x14ac:dyDescent="0.5">
      <c r="A26" s="22"/>
      <c r="B26" s="22"/>
      <c r="C26" s="22"/>
      <c r="D26" s="22"/>
      <c r="E26" s="23" t="s">
        <v>18</v>
      </c>
      <c r="F26" s="263"/>
      <c r="G26" s="107"/>
      <c r="H26" s="107"/>
      <c r="I26" s="107"/>
      <c r="J26" s="107"/>
      <c r="K26" s="190"/>
      <c r="L26" s="190"/>
      <c r="M26" s="107"/>
      <c r="N26" s="441"/>
      <c r="O26" s="434"/>
      <c r="P26" s="434"/>
      <c r="Q26" s="434"/>
      <c r="R26" s="434"/>
      <c r="S26" s="43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</sheetData>
  <autoFilter ref="N1:N26"/>
  <mergeCells count="20">
    <mergeCell ref="F4:G4"/>
    <mergeCell ref="M5:M8"/>
    <mergeCell ref="A1:M1"/>
    <mergeCell ref="A2:M2"/>
    <mergeCell ref="A3:M3"/>
    <mergeCell ref="A5:A8"/>
    <mergeCell ref="I5:I8"/>
    <mergeCell ref="F5:H5"/>
    <mergeCell ref="H6:H8"/>
    <mergeCell ref="J5:J8"/>
    <mergeCell ref="K5:K8"/>
    <mergeCell ref="Q5:Q8"/>
    <mergeCell ref="B5:B8"/>
    <mergeCell ref="C5:C8"/>
    <mergeCell ref="D5:D8"/>
    <mergeCell ref="E5:E8"/>
    <mergeCell ref="P5:P8"/>
    <mergeCell ref="L5:L8"/>
    <mergeCell ref="F6:F8"/>
    <mergeCell ref="G6:G8"/>
  </mergeCells>
  <pageMargins left="0.70866141732283472" right="0.70866141732283472" top="0.74803149606299213" bottom="0.74803149606299213" header="0.31496062992125984" footer="0.31496062992125984"/>
  <pageSetup paperSize="9" scale="90" orientation="landscape" blackAndWhite="1" r:id="rId1"/>
  <rowBreaks count="1" manualBreakCount="1">
    <brk id="22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29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4" width="6.7109375" style="3" customWidth="1"/>
    <col min="5" max="5" width="44.42578125" style="1" bestFit="1" customWidth="1"/>
    <col min="6" max="6" width="13.85546875" style="264" bestFit="1" customWidth="1"/>
    <col min="7" max="7" width="13.28515625" style="106" customWidth="1"/>
    <col min="8" max="8" width="13.28515625" style="106" hidden="1" customWidth="1"/>
    <col min="9" max="9" width="25.28515625" style="106" hidden="1" customWidth="1"/>
    <col min="10" max="10" width="13.140625" style="106" hidden="1" customWidth="1"/>
    <col min="11" max="11" width="12.28515625" style="156" hidden="1" customWidth="1"/>
    <col min="12" max="12" width="19.42578125" style="156" hidden="1" customWidth="1"/>
    <col min="13" max="14" width="25.28515625" style="106" customWidth="1"/>
    <col min="15" max="15" width="5.7109375" style="473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2.42578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72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72"/>
      <c r="P2" s="435" t="s">
        <v>522</v>
      </c>
      <c r="Q2" s="434">
        <v>12</v>
      </c>
      <c r="R2" s="436" t="e">
        <f>+#REF!+#REF!+#REF!+#REF!+#REF!+#REF!+#REF!+#REF!+#REF!+#REF!+#REF!+#REF!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72"/>
      <c r="P3" s="437" t="s">
        <v>523</v>
      </c>
      <c r="Q3" s="438">
        <v>1</v>
      </c>
      <c r="R3" s="439" t="e">
        <f>+#REF!</f>
        <v>#REF!</v>
      </c>
      <c r="S3" s="440">
        <v>2</v>
      </c>
      <c r="T3" s="439" t="e">
        <f>+#REF!+#REF!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74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74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74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74"/>
      <c r="Q8" s="788"/>
      <c r="R8" s="788"/>
    </row>
    <row r="9" spans="1:39" x14ac:dyDescent="0.5">
      <c r="A9" s="12"/>
      <c r="B9" s="12"/>
      <c r="C9" s="12"/>
      <c r="D9" s="12"/>
      <c r="E9" s="32" t="s">
        <v>45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6"/>
      <c r="P10" s="437"/>
      <c r="Q10" s="437"/>
      <c r="R10" s="437"/>
      <c r="S10" s="437"/>
      <c r="T10" s="437"/>
    </row>
    <row r="11" spans="1:39" s="19" customFormat="1" ht="65.25" x14ac:dyDescent="0.2">
      <c r="A11" s="275">
        <v>1</v>
      </c>
      <c r="B11" s="275"/>
      <c r="C11" s="625" t="s">
        <v>466</v>
      </c>
      <c r="D11" s="275" t="s">
        <v>45</v>
      </c>
      <c r="E11" s="628" t="s">
        <v>463</v>
      </c>
      <c r="F11" s="612">
        <v>72000</v>
      </c>
      <c r="G11" s="298"/>
      <c r="H11" s="298"/>
      <c r="I11" s="548" t="s">
        <v>780</v>
      </c>
      <c r="J11" s="549"/>
      <c r="K11" s="549"/>
      <c r="L11" s="549"/>
      <c r="M11" s="548" t="s">
        <v>781</v>
      </c>
      <c r="N11" s="548"/>
      <c r="O11" s="464">
        <v>1</v>
      </c>
      <c r="P11" s="453"/>
      <c r="Q11" s="453"/>
      <c r="R11" s="453"/>
      <c r="S11" s="453"/>
      <c r="T11" s="453"/>
    </row>
    <row r="12" spans="1:39" s="19" customFormat="1" ht="152.25" x14ac:dyDescent="0.2">
      <c r="A12" s="275">
        <v>2</v>
      </c>
      <c r="B12" s="275"/>
      <c r="C12" s="625" t="s">
        <v>302</v>
      </c>
      <c r="D12" s="275" t="s">
        <v>45</v>
      </c>
      <c r="E12" s="628" t="s">
        <v>464</v>
      </c>
      <c r="F12" s="612">
        <v>570000</v>
      </c>
      <c r="G12" s="298"/>
      <c r="H12" s="298"/>
      <c r="I12" s="551" t="s">
        <v>786</v>
      </c>
      <c r="J12" s="549"/>
      <c r="K12" s="549"/>
      <c r="L12" s="549"/>
      <c r="M12" s="551" t="s">
        <v>782</v>
      </c>
      <c r="N12" s="551"/>
      <c r="O12" s="464">
        <v>1</v>
      </c>
      <c r="P12" s="453"/>
      <c r="Q12" s="453"/>
      <c r="R12" s="453"/>
      <c r="S12" s="453"/>
      <c r="T12" s="453"/>
    </row>
    <row r="13" spans="1:39" s="19" customFormat="1" ht="87" x14ac:dyDescent="0.2">
      <c r="A13" s="275">
        <v>3</v>
      </c>
      <c r="B13" s="275"/>
      <c r="C13" s="625" t="s">
        <v>302</v>
      </c>
      <c r="D13" s="275" t="s">
        <v>45</v>
      </c>
      <c r="E13" s="628" t="s">
        <v>462</v>
      </c>
      <c r="F13" s="612">
        <v>21000</v>
      </c>
      <c r="G13" s="298"/>
      <c r="H13" s="298"/>
      <c r="I13" s="696" t="s">
        <v>783</v>
      </c>
      <c r="J13" s="546"/>
      <c r="K13" s="547"/>
      <c r="L13" s="547"/>
      <c r="M13" s="696" t="s">
        <v>787</v>
      </c>
      <c r="N13" s="696"/>
      <c r="O13" s="464">
        <v>1</v>
      </c>
      <c r="P13" s="453"/>
      <c r="Q13" s="453"/>
      <c r="R13" s="453"/>
      <c r="S13" s="453"/>
      <c r="T13" s="453"/>
    </row>
    <row r="14" spans="1:39" s="19" customFormat="1" ht="65.25" x14ac:dyDescent="0.2">
      <c r="A14" s="275">
        <v>4</v>
      </c>
      <c r="B14" s="275"/>
      <c r="C14" s="625" t="s">
        <v>302</v>
      </c>
      <c r="D14" s="275" t="s">
        <v>45</v>
      </c>
      <c r="E14" s="628" t="s">
        <v>465</v>
      </c>
      <c r="F14" s="612">
        <v>19800</v>
      </c>
      <c r="G14" s="298"/>
      <c r="H14" s="298"/>
      <c r="I14" s="551" t="s">
        <v>784</v>
      </c>
      <c r="J14" s="546"/>
      <c r="K14" s="547"/>
      <c r="L14" s="547"/>
      <c r="M14" s="551" t="s">
        <v>785</v>
      </c>
      <c r="N14" s="551"/>
      <c r="O14" s="464">
        <v>1</v>
      </c>
      <c r="P14" s="453"/>
      <c r="Q14" s="453"/>
      <c r="R14" s="453"/>
      <c r="S14" s="453"/>
      <c r="T14" s="453"/>
    </row>
    <row r="15" spans="1:39" s="9" customFormat="1" x14ac:dyDescent="0.2">
      <c r="A15" s="6"/>
      <c r="B15" s="13"/>
      <c r="C15" s="13"/>
      <c r="D15" s="13"/>
      <c r="E15" s="7"/>
      <c r="F15" s="16"/>
      <c r="G15" s="29"/>
      <c r="H15" s="29"/>
      <c r="I15" s="11"/>
      <c r="J15" s="11"/>
      <c r="K15" s="10"/>
      <c r="L15" s="10"/>
      <c r="M15" s="11"/>
      <c r="N15" s="11"/>
      <c r="O15" s="446"/>
      <c r="P15" s="437"/>
      <c r="Q15" s="437"/>
      <c r="R15" s="437"/>
      <c r="S15" s="437"/>
      <c r="T15" s="437"/>
    </row>
    <row r="16" spans="1:39" s="14" customFormat="1" x14ac:dyDescent="0.5">
      <c r="A16" s="241">
        <f>+A14</f>
        <v>4</v>
      </c>
      <c r="B16" s="241"/>
      <c r="C16" s="241"/>
      <c r="D16" s="241"/>
      <c r="E16" s="242" t="s">
        <v>47</v>
      </c>
      <c r="F16" s="329">
        <f>SUM(F11:F15)</f>
        <v>682800</v>
      </c>
      <c r="G16" s="243">
        <f>SUM(G11:G15)</f>
        <v>0</v>
      </c>
      <c r="H16" s="243">
        <f>SUM(H11:H15)</f>
        <v>0</v>
      </c>
      <c r="I16" s="258"/>
      <c r="J16" s="258">
        <f>SUM(J15:J15)</f>
        <v>0</v>
      </c>
      <c r="K16" s="258">
        <f>SUM(K15:K15)</f>
        <v>0</v>
      </c>
      <c r="L16" s="258">
        <f>SUM(L15:L15)</f>
        <v>0</v>
      </c>
      <c r="M16" s="258"/>
      <c r="N16" s="258"/>
      <c r="O16" s="475"/>
      <c r="P16" s="450">
        <f>+F16+G16</f>
        <v>682800</v>
      </c>
      <c r="Q16" s="451"/>
      <c r="R16" s="451"/>
      <c r="S16" s="452"/>
      <c r="T16" s="452"/>
    </row>
    <row r="17" spans="1:47" s="19" customFormat="1" x14ac:dyDescent="0.2">
      <c r="A17" s="17" t="s">
        <v>198</v>
      </c>
      <c r="B17" s="17"/>
      <c r="C17" s="17"/>
      <c r="D17" s="17"/>
      <c r="E17" s="30" t="s">
        <v>10</v>
      </c>
      <c r="F17" s="34"/>
      <c r="G17" s="34"/>
      <c r="H17" s="34"/>
      <c r="I17" s="34"/>
      <c r="J17" s="34"/>
      <c r="K17" s="18"/>
      <c r="L17" s="18"/>
      <c r="M17" s="34"/>
      <c r="N17" s="34"/>
      <c r="O17" s="476"/>
      <c r="P17" s="453"/>
      <c r="Q17" s="453"/>
      <c r="R17" s="453"/>
      <c r="S17" s="453"/>
      <c r="T17" s="453"/>
    </row>
    <row r="18" spans="1:47" s="302" customFormat="1" ht="65.25" x14ac:dyDescent="0.2">
      <c r="A18" s="486">
        <v>1</v>
      </c>
      <c r="B18" s="486"/>
      <c r="C18" s="631" t="s">
        <v>466</v>
      </c>
      <c r="D18" s="486"/>
      <c r="E18" s="601" t="s">
        <v>467</v>
      </c>
      <c r="F18" s="602">
        <v>4511000</v>
      </c>
      <c r="G18" s="492"/>
      <c r="H18" s="492"/>
      <c r="I18" s="697" t="s">
        <v>788</v>
      </c>
      <c r="J18" s="513"/>
      <c r="K18" s="514"/>
      <c r="L18" s="514"/>
      <c r="M18" s="697" t="s">
        <v>790</v>
      </c>
      <c r="N18" s="697"/>
      <c r="O18" s="469">
        <v>2</v>
      </c>
      <c r="P18" s="454"/>
      <c r="Q18" s="454"/>
      <c r="R18" s="454"/>
      <c r="S18" s="454"/>
      <c r="T18" s="454"/>
    </row>
    <row r="19" spans="1:47" s="302" customFormat="1" ht="65.25" x14ac:dyDescent="0.2">
      <c r="A19" s="486">
        <v>2</v>
      </c>
      <c r="B19" s="486"/>
      <c r="C19" s="631" t="s">
        <v>466</v>
      </c>
      <c r="D19" s="486"/>
      <c r="E19" s="601" t="s">
        <v>468</v>
      </c>
      <c r="F19" s="602">
        <v>2499000</v>
      </c>
      <c r="G19" s="492"/>
      <c r="H19" s="492"/>
      <c r="I19" s="697" t="s">
        <v>789</v>
      </c>
      <c r="J19" s="513"/>
      <c r="K19" s="514"/>
      <c r="L19" s="514"/>
      <c r="M19" s="697" t="s">
        <v>791</v>
      </c>
      <c r="N19" s="697"/>
      <c r="O19" s="469">
        <v>2</v>
      </c>
      <c r="P19" s="454"/>
      <c r="Q19" s="454"/>
      <c r="R19" s="454"/>
      <c r="S19" s="454"/>
      <c r="T19" s="454"/>
    </row>
    <row r="20" spans="1:47" s="9" customFormat="1" x14ac:dyDescent="0.2">
      <c r="A20" s="6"/>
      <c r="B20" s="6"/>
      <c r="C20" s="6"/>
      <c r="D20" s="6"/>
      <c r="E20" s="7"/>
      <c r="F20" s="8"/>
      <c r="G20" s="29"/>
      <c r="H20" s="29"/>
      <c r="I20" s="11"/>
      <c r="J20" s="11"/>
      <c r="K20" s="10"/>
      <c r="L20" s="10"/>
      <c r="M20" s="11"/>
      <c r="N20" s="11"/>
      <c r="O20" s="446"/>
      <c r="P20" s="437"/>
      <c r="Q20" s="437"/>
      <c r="R20" s="437"/>
      <c r="S20" s="437"/>
      <c r="T20" s="437"/>
    </row>
    <row r="21" spans="1:47" s="19" customFormat="1" ht="22.5" thickBot="1" x14ac:dyDescent="0.55000000000000004">
      <c r="A21" s="244">
        <f>+A19</f>
        <v>2</v>
      </c>
      <c r="B21" s="244"/>
      <c r="C21" s="244"/>
      <c r="D21" s="244"/>
      <c r="E21" s="245" t="s">
        <v>33</v>
      </c>
      <c r="F21" s="330">
        <f>SUM(F18:F20)</f>
        <v>7010000</v>
      </c>
      <c r="G21" s="246">
        <f>SUM(G18:G20)</f>
        <v>0</v>
      </c>
      <c r="H21" s="246">
        <f>SUM(H18:H20)</f>
        <v>0</v>
      </c>
      <c r="I21" s="259"/>
      <c r="J21" s="259">
        <f>SUM(J18:J20)</f>
        <v>0</v>
      </c>
      <c r="K21" s="259">
        <f>SUM(K18:K20)</f>
        <v>0</v>
      </c>
      <c r="L21" s="259">
        <f>SUM(L18:L20)</f>
        <v>0</v>
      </c>
      <c r="M21" s="259"/>
      <c r="N21" s="259"/>
      <c r="O21" s="474"/>
      <c r="P21" s="455">
        <f>+F21+G21</f>
        <v>7010000</v>
      </c>
      <c r="Q21" s="451"/>
      <c r="R21" s="451"/>
      <c r="S21" s="453"/>
      <c r="T21" s="453"/>
    </row>
    <row r="22" spans="1:47" s="28" customFormat="1" ht="22.5" thickBot="1" x14ac:dyDescent="0.55000000000000004">
      <c r="A22" s="247">
        <f>+A16+A21</f>
        <v>6</v>
      </c>
      <c r="B22" s="248"/>
      <c r="C22" s="248"/>
      <c r="D22" s="248"/>
      <c r="E22" s="248" t="s">
        <v>170</v>
      </c>
      <c r="F22" s="331">
        <f>F16+F21</f>
        <v>7692800</v>
      </c>
      <c r="G22" s="310">
        <f>+G16+G21</f>
        <v>0</v>
      </c>
      <c r="H22" s="310">
        <f>+H16+H21</f>
        <v>0</v>
      </c>
      <c r="I22" s="249"/>
      <c r="J22" s="249">
        <f>J16+J21</f>
        <v>0</v>
      </c>
      <c r="K22" s="249">
        <f>K16+K21</f>
        <v>0</v>
      </c>
      <c r="L22" s="249">
        <f>L16+L21</f>
        <v>0</v>
      </c>
      <c r="M22" s="249"/>
      <c r="N22" s="249"/>
      <c r="O22" s="477"/>
      <c r="P22" s="450">
        <f>+P16+P21</f>
        <v>7692800</v>
      </c>
      <c r="Q22" s="457"/>
      <c r="R22" s="457"/>
      <c r="S22" s="434"/>
      <c r="T22" s="434"/>
      <c r="U22" s="2"/>
      <c r="V22" s="2"/>
      <c r="W22" s="2"/>
      <c r="X22" s="2"/>
      <c r="Y22" s="2"/>
      <c r="Z22" s="2"/>
      <c r="AA22" s="2"/>
      <c r="AB22" s="2"/>
    </row>
    <row r="23" spans="1:47" s="9" customFormat="1" x14ac:dyDescent="0.2">
      <c r="A23" s="15"/>
      <c r="B23" s="15"/>
      <c r="C23" s="15"/>
      <c r="D23" s="15"/>
      <c r="E23" s="31"/>
      <c r="F23" s="104"/>
      <c r="G23" s="20"/>
      <c r="H23" s="20"/>
      <c r="I23" s="20"/>
      <c r="J23" s="20"/>
      <c r="K23" s="104"/>
      <c r="L23" s="104"/>
      <c r="M23" s="20"/>
      <c r="N23" s="20"/>
      <c r="O23" s="446"/>
      <c r="P23" s="437"/>
      <c r="Q23" s="437"/>
      <c r="R23" s="437"/>
      <c r="S23" s="437"/>
      <c r="T23" s="437"/>
    </row>
    <row r="24" spans="1:47" s="9" customFormat="1" x14ac:dyDescent="0.5">
      <c r="A24" s="15"/>
      <c r="B24" s="15"/>
      <c r="C24" s="15"/>
      <c r="D24" s="15"/>
      <c r="E24" s="31"/>
      <c r="F24" s="261"/>
      <c r="G24" s="20"/>
      <c r="H24" s="20"/>
      <c r="I24" s="20"/>
      <c r="J24" s="20"/>
      <c r="K24" s="104"/>
      <c r="L24" s="104"/>
      <c r="M24" s="20"/>
      <c r="N24" s="20"/>
      <c r="O24" s="446"/>
      <c r="P24" s="437"/>
      <c r="Q24" s="437"/>
      <c r="R24" s="437"/>
      <c r="S24" s="437"/>
      <c r="T24" s="437"/>
    </row>
    <row r="26" spans="1:47" s="23" customFormat="1" x14ac:dyDescent="0.5">
      <c r="A26" s="22"/>
      <c r="B26" s="22"/>
      <c r="C26" s="22"/>
      <c r="D26" s="22"/>
      <c r="E26" s="81"/>
      <c r="F26" s="277"/>
      <c r="G26" s="125"/>
      <c r="H26" s="125"/>
      <c r="I26" s="125"/>
      <c r="J26" s="125"/>
      <c r="K26" s="190"/>
      <c r="L26" s="190"/>
      <c r="M26" s="125"/>
      <c r="N26" s="125"/>
      <c r="O26" s="473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s="23" customFormat="1" x14ac:dyDescent="0.5">
      <c r="A27" s="22"/>
      <c r="B27" s="22"/>
      <c r="C27" s="22"/>
      <c r="D27" s="22"/>
      <c r="F27" s="263"/>
      <c r="G27" s="107"/>
      <c r="H27" s="107"/>
      <c r="I27" s="107"/>
      <c r="J27" s="107"/>
      <c r="K27" s="190"/>
      <c r="L27" s="190"/>
      <c r="M27" s="107"/>
      <c r="N27" s="107"/>
      <c r="O27" s="473"/>
      <c r="P27" s="434"/>
      <c r="Q27" s="434"/>
      <c r="R27" s="434"/>
      <c r="S27" s="434"/>
      <c r="T27" s="43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s="23" customFormat="1" x14ac:dyDescent="0.5">
      <c r="A28" s="22"/>
      <c r="B28" s="22"/>
      <c r="C28" s="22"/>
      <c r="D28" s="22"/>
      <c r="F28" s="263"/>
      <c r="G28" s="107"/>
      <c r="H28" s="107"/>
      <c r="I28" s="107"/>
      <c r="J28" s="107"/>
      <c r="K28" s="190"/>
      <c r="L28" s="190"/>
      <c r="M28" s="107"/>
      <c r="N28" s="107"/>
      <c r="O28" s="473"/>
      <c r="P28" s="434"/>
      <c r="Q28" s="434"/>
      <c r="R28" s="434"/>
      <c r="S28" s="434"/>
      <c r="T28" s="43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</row>
    <row r="29" spans="1:47" s="23" customFormat="1" x14ac:dyDescent="0.5">
      <c r="A29" s="22"/>
      <c r="B29" s="22"/>
      <c r="C29" s="22"/>
      <c r="D29" s="22"/>
      <c r="F29" s="263"/>
      <c r="G29" s="107"/>
      <c r="H29" s="107"/>
      <c r="I29" s="107"/>
      <c r="J29" s="107"/>
      <c r="K29" s="190"/>
      <c r="L29" s="190"/>
      <c r="M29" s="107"/>
      <c r="N29" s="107"/>
      <c r="O29" s="473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</sheetData>
  <autoFilter ref="O1:O29"/>
  <mergeCells count="21">
    <mergeCell ref="A1:N1"/>
    <mergeCell ref="A2:N2"/>
    <mergeCell ref="A3:N3"/>
    <mergeCell ref="J5:J8"/>
    <mergeCell ref="B5:B8"/>
    <mergeCell ref="D5:D8"/>
    <mergeCell ref="E5:E8"/>
    <mergeCell ref="N5:N8"/>
    <mergeCell ref="A5:A8"/>
    <mergeCell ref="R5:R8"/>
    <mergeCell ref="F6:F8"/>
    <mergeCell ref="G6:G8"/>
    <mergeCell ref="C5:C8"/>
    <mergeCell ref="F4:G4"/>
    <mergeCell ref="Q5:Q8"/>
    <mergeCell ref="I5:I8"/>
    <mergeCell ref="F5:H5"/>
    <mergeCell ref="H6:H8"/>
    <mergeCell ref="M5:M8"/>
    <mergeCell ref="K5:K8"/>
    <mergeCell ref="L5:L8"/>
  </mergeCells>
  <conditionalFormatting sqref="F11:F14">
    <cfRule type="cellIs" dxfId="4" priority="2" stopIfTrue="1" operator="between">
      <formula>2000001</formula>
      <formula>500000000</formula>
    </cfRule>
  </conditionalFormatting>
  <conditionalFormatting sqref="F18:F19">
    <cfRule type="cellIs" dxfId="3" priority="1" stopIfTrue="1" operator="between">
      <formula>2000001</formula>
      <formula>500000000</formula>
    </cfRule>
  </conditionalFormatting>
  <pageMargins left="0.70866141732283472" right="0.70866141732283472" top="0.3" bottom="0.25" header="0.17" footer="0.16"/>
  <pageSetup paperSize="9" scale="90" orientation="landscape" blackAndWhite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zoomScaleNormal="100" zoomScaleSheetLayoutView="100" workbookViewId="0">
      <selection activeCell="O8" sqref="O8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6.85546875" style="3" customWidth="1"/>
    <col min="5" max="5" width="42.42578125" style="1" bestFit="1" customWidth="1"/>
    <col min="6" max="6" width="14.5703125" style="264" customWidth="1"/>
    <col min="7" max="7" width="13.5703125" style="106" customWidth="1"/>
    <col min="8" max="8" width="2.28515625" style="106" hidden="1" customWidth="1"/>
    <col min="9" max="9" width="27.140625" style="106" customWidth="1"/>
    <col min="10" max="10" width="13.140625" style="106" hidden="1" customWidth="1"/>
    <col min="11" max="11" width="12.28515625" style="156" hidden="1" customWidth="1"/>
    <col min="12" max="12" width="15.5703125" style="156" hidden="1" customWidth="1"/>
    <col min="13" max="13" width="27.140625" style="106" customWidth="1"/>
    <col min="14" max="14" width="4.28515625" style="473" customWidth="1"/>
    <col min="15" max="15" width="19.5703125" style="434" bestFit="1" customWidth="1"/>
    <col min="16" max="16" width="9.140625" style="434"/>
    <col min="17" max="17" width="11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478"/>
      <c r="Q1" s="434" t="s">
        <v>524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478"/>
      <c r="O2" s="435" t="s">
        <v>522</v>
      </c>
      <c r="P2" s="434">
        <v>4</v>
      </c>
      <c r="Q2" s="436">
        <f>SUM(F11:F11)</f>
        <v>0</v>
      </c>
      <c r="R2" s="436" t="s">
        <v>209</v>
      </c>
      <c r="S2" s="434" t="s">
        <v>209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75" t="s">
        <v>539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478"/>
      <c r="O3" s="437" t="s">
        <v>523</v>
      </c>
      <c r="P3" s="438" t="s">
        <v>209</v>
      </c>
      <c r="Q3" s="439" t="s">
        <v>209</v>
      </c>
      <c r="R3" s="440" t="s">
        <v>209</v>
      </c>
      <c r="S3" s="439" t="s">
        <v>209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O4" s="434" t="s">
        <v>536</v>
      </c>
      <c r="P4" s="442" t="s">
        <v>209</v>
      </c>
      <c r="Q4" s="442" t="s">
        <v>209</v>
      </c>
      <c r="R4" s="434" t="s">
        <v>209</v>
      </c>
      <c r="S4" s="434" t="s">
        <v>209</v>
      </c>
    </row>
    <row r="5" spans="1:38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474"/>
      <c r="P5" s="788" t="s">
        <v>142</v>
      </c>
      <c r="Q5" s="788" t="s">
        <v>150</v>
      </c>
    </row>
    <row r="6" spans="1:38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474"/>
      <c r="P6" s="788"/>
      <c r="Q6" s="788"/>
    </row>
    <row r="7" spans="1:38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474"/>
      <c r="P7" s="788"/>
      <c r="Q7" s="788"/>
    </row>
    <row r="8" spans="1:38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474"/>
      <c r="P8" s="788"/>
      <c r="Q8" s="788"/>
    </row>
    <row r="9" spans="1:38" x14ac:dyDescent="0.5">
      <c r="A9" s="12"/>
      <c r="B9" s="12"/>
      <c r="C9" s="12"/>
      <c r="D9" s="12"/>
      <c r="E9" s="32" t="s">
        <v>40</v>
      </c>
      <c r="F9" s="256"/>
      <c r="G9" s="105"/>
      <c r="H9" s="105"/>
      <c r="I9" s="105"/>
      <c r="J9" s="105"/>
      <c r="K9" s="189"/>
      <c r="L9" s="189"/>
      <c r="M9" s="105"/>
    </row>
    <row r="10" spans="1:38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446"/>
      <c r="O10" s="437"/>
      <c r="P10" s="437"/>
      <c r="Q10" s="437"/>
      <c r="R10" s="437"/>
      <c r="S10" s="437"/>
    </row>
    <row r="11" spans="1:38" s="9" customFormat="1" ht="44.25" customHeight="1" x14ac:dyDescent="0.2">
      <c r="A11" s="271"/>
      <c r="B11" s="271"/>
      <c r="C11" s="271"/>
      <c r="D11" s="271"/>
      <c r="E11" s="324"/>
      <c r="F11" s="364"/>
      <c r="G11" s="364"/>
      <c r="H11" s="364"/>
      <c r="I11" s="270"/>
      <c r="J11" s="317"/>
      <c r="K11" s="316"/>
      <c r="L11" s="316"/>
      <c r="M11" s="270"/>
      <c r="N11" s="471"/>
      <c r="O11" s="437"/>
      <c r="P11" s="437"/>
      <c r="Q11" s="437"/>
      <c r="R11" s="437"/>
      <c r="S11" s="437"/>
    </row>
    <row r="12" spans="1:38" s="9" customFormat="1" x14ac:dyDescent="0.2">
      <c r="A12" s="6"/>
      <c r="B12" s="13"/>
      <c r="C12" s="13"/>
      <c r="D12" s="13"/>
      <c r="E12" s="7"/>
      <c r="F12" s="257" t="s">
        <v>204</v>
      </c>
      <c r="G12" s="11"/>
      <c r="H12" s="11"/>
      <c r="I12" s="11"/>
      <c r="J12" s="11"/>
      <c r="K12" s="10"/>
      <c r="L12" s="10"/>
      <c r="M12" s="11"/>
      <c r="N12" s="446"/>
      <c r="O12" s="437"/>
      <c r="P12" s="437"/>
      <c r="Q12" s="437"/>
      <c r="R12" s="437"/>
      <c r="S12" s="437"/>
    </row>
    <row r="13" spans="1:38" s="14" customFormat="1" ht="22.5" thickBot="1" x14ac:dyDescent="0.55000000000000004">
      <c r="A13" s="241">
        <f>+A11</f>
        <v>0</v>
      </c>
      <c r="B13" s="241"/>
      <c r="C13" s="241"/>
      <c r="D13" s="241"/>
      <c r="E13" s="242" t="s">
        <v>47</v>
      </c>
      <c r="F13" s="258">
        <f>SUM(F11:F12)</f>
        <v>0</v>
      </c>
      <c r="G13" s="258">
        <f>SUM(G11:G12)</f>
        <v>0</v>
      </c>
      <c r="H13" s="258">
        <f>SUM(H11:H12)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475"/>
      <c r="O13" s="450">
        <f>+F13+G13</f>
        <v>0</v>
      </c>
      <c r="P13" s="451"/>
      <c r="Q13" s="451"/>
      <c r="R13" s="452"/>
      <c r="S13" s="452"/>
    </row>
    <row r="14" spans="1:38" s="19" customFormat="1" ht="22.5" hidden="1" thickBot="1" x14ac:dyDescent="0.25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476"/>
      <c r="O14" s="453"/>
      <c r="P14" s="453"/>
      <c r="Q14" s="453"/>
      <c r="R14" s="453"/>
      <c r="S14" s="453"/>
    </row>
    <row r="15" spans="1:38" s="19" customFormat="1" ht="22.5" hidden="1" thickBot="1" x14ac:dyDescent="0.25">
      <c r="A15" s="17"/>
      <c r="B15" s="17"/>
      <c r="C15" s="17"/>
      <c r="D15" s="17"/>
      <c r="E15" s="30"/>
      <c r="F15" s="34"/>
      <c r="G15" s="34"/>
      <c r="H15" s="34"/>
      <c r="I15" s="34"/>
      <c r="J15" s="34"/>
      <c r="K15" s="18"/>
      <c r="L15" s="18"/>
      <c r="M15" s="34"/>
      <c r="N15" s="476"/>
      <c r="O15" s="453"/>
      <c r="P15" s="453"/>
      <c r="Q15" s="453"/>
      <c r="R15" s="453"/>
      <c r="S15" s="453"/>
    </row>
    <row r="16" spans="1:38" s="9" customFormat="1" ht="22.5" hidden="1" thickBot="1" x14ac:dyDescent="0.25">
      <c r="A16" s="6"/>
      <c r="B16" s="6"/>
      <c r="C16" s="6"/>
      <c r="D16" s="6"/>
      <c r="E16" s="7"/>
      <c r="F16" s="10"/>
      <c r="G16" s="11"/>
      <c r="H16" s="11"/>
      <c r="I16" s="11"/>
      <c r="J16" s="11"/>
      <c r="K16" s="10"/>
      <c r="L16" s="10"/>
      <c r="M16" s="11"/>
      <c r="N16" s="446"/>
      <c r="O16" s="437"/>
      <c r="P16" s="437"/>
      <c r="Q16" s="437"/>
      <c r="R16" s="437"/>
      <c r="S16" s="437"/>
    </row>
    <row r="17" spans="1:46" s="19" customFormat="1" ht="22.5" hidden="1" thickBot="1" x14ac:dyDescent="0.55000000000000004">
      <c r="A17" s="244"/>
      <c r="B17" s="244"/>
      <c r="C17" s="244"/>
      <c r="D17" s="244"/>
      <c r="E17" s="245" t="s">
        <v>33</v>
      </c>
      <c r="F17" s="259">
        <f>SUM(F15:F16)</f>
        <v>0</v>
      </c>
      <c r="G17" s="259">
        <f>SUM(G15:G16)</f>
        <v>0</v>
      </c>
      <c r="H17" s="259">
        <f>SUM(H15:H16)</f>
        <v>0</v>
      </c>
      <c r="I17" s="259"/>
      <c r="J17" s="259">
        <f>SUM(J15:J16)</f>
        <v>0</v>
      </c>
      <c r="K17" s="259">
        <f>SUM(K15:K16)</f>
        <v>0</v>
      </c>
      <c r="L17" s="259">
        <f>SUM(L15:L16)</f>
        <v>0</v>
      </c>
      <c r="M17" s="259"/>
      <c r="N17" s="474"/>
      <c r="O17" s="455">
        <f>+F17+G17</f>
        <v>0</v>
      </c>
      <c r="P17" s="451"/>
      <c r="Q17" s="451"/>
      <c r="R17" s="453"/>
      <c r="S17" s="453"/>
    </row>
    <row r="18" spans="1:46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171</v>
      </c>
      <c r="F18" s="260">
        <f>F13+F17</f>
        <v>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477"/>
      <c r="O18" s="436">
        <f>+O13+O17</f>
        <v>0</v>
      </c>
      <c r="P18" s="457"/>
      <c r="Q18" s="457"/>
      <c r="R18" s="434"/>
      <c r="S18" s="434"/>
      <c r="T18" s="2"/>
      <c r="U18" s="2"/>
      <c r="V18" s="2"/>
      <c r="W18" s="2"/>
      <c r="X18" s="2"/>
      <c r="Y18" s="2"/>
      <c r="Z18" s="2"/>
      <c r="AA18" s="2"/>
    </row>
    <row r="19" spans="1:46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446"/>
      <c r="O19" s="437"/>
      <c r="P19" s="437"/>
      <c r="Q19" s="437"/>
      <c r="R19" s="437"/>
      <c r="S19" s="437"/>
    </row>
    <row r="20" spans="1:46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446"/>
      <c r="O20" s="437"/>
      <c r="P20" s="437"/>
      <c r="Q20" s="437"/>
      <c r="R20" s="437"/>
      <c r="S20" s="437"/>
    </row>
    <row r="22" spans="1:46" s="23" customFormat="1" ht="22.5" thickBot="1" x14ac:dyDescent="0.55000000000000004">
      <c r="A22" s="22"/>
      <c r="B22" s="22"/>
      <c r="C22" s="22"/>
      <c r="D22" s="22"/>
      <c r="E22" s="81" t="s">
        <v>99</v>
      </c>
      <c r="F22" s="262"/>
      <c r="G22" s="238"/>
      <c r="H22" s="125"/>
      <c r="I22" s="125"/>
      <c r="J22" s="125"/>
      <c r="K22" s="190"/>
      <c r="L22" s="190"/>
      <c r="M22" s="125"/>
      <c r="N22" s="473"/>
      <c r="O22" s="434"/>
      <c r="P22" s="434"/>
      <c r="Q22" s="434"/>
      <c r="R22" s="434"/>
      <c r="S22" s="43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</row>
    <row r="23" spans="1:46" s="23" customFormat="1" ht="22.5" thickTop="1" x14ac:dyDescent="0.5">
      <c r="A23" s="22"/>
      <c r="B23" s="22"/>
      <c r="C23" s="22"/>
      <c r="D23" s="22"/>
      <c r="E23" s="23" t="s">
        <v>25</v>
      </c>
      <c r="F23" s="263"/>
      <c r="G23" s="107"/>
      <c r="H23" s="107"/>
      <c r="I23" s="107"/>
      <c r="J23" s="107"/>
      <c r="K23" s="190"/>
      <c r="L23" s="190"/>
      <c r="M23" s="107"/>
      <c r="N23" s="473"/>
      <c r="O23" s="434"/>
      <c r="P23" s="434"/>
      <c r="Q23" s="434"/>
      <c r="R23" s="434"/>
      <c r="S23" s="43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3" customFormat="1" x14ac:dyDescent="0.5">
      <c r="A24" s="22"/>
      <c r="B24" s="22"/>
      <c r="C24" s="22"/>
      <c r="D24" s="22"/>
      <c r="E24" s="23" t="s">
        <v>98</v>
      </c>
      <c r="F24" s="263"/>
      <c r="G24" s="107"/>
      <c r="H24" s="107"/>
      <c r="I24" s="107"/>
      <c r="J24" s="107"/>
      <c r="K24" s="190"/>
      <c r="L24" s="190"/>
      <c r="M24" s="107"/>
      <c r="N24" s="473"/>
      <c r="O24" s="434"/>
      <c r="P24" s="434"/>
      <c r="Q24" s="434"/>
      <c r="R24" s="434"/>
      <c r="S24" s="43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23" customFormat="1" x14ac:dyDescent="0.5">
      <c r="A25" s="22"/>
      <c r="B25" s="22"/>
      <c r="C25" s="22"/>
      <c r="D25" s="22"/>
      <c r="E25" s="23" t="s">
        <v>18</v>
      </c>
      <c r="F25" s="263"/>
      <c r="G25" s="107"/>
      <c r="H25" s="107"/>
      <c r="I25" s="107"/>
      <c r="J25" s="107"/>
      <c r="K25" s="190"/>
      <c r="L25" s="190"/>
      <c r="M25" s="107"/>
      <c r="N25" s="473"/>
      <c r="O25" s="434"/>
      <c r="P25" s="434"/>
      <c r="Q25" s="434"/>
      <c r="R25" s="434"/>
      <c r="S25" s="43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</sheetData>
  <autoFilter ref="N1:N25"/>
  <mergeCells count="20">
    <mergeCell ref="B5:B8"/>
    <mergeCell ref="D5:D8"/>
    <mergeCell ref="E5:E8"/>
    <mergeCell ref="A1:M1"/>
    <mergeCell ref="A2:M2"/>
    <mergeCell ref="A3:M3"/>
    <mergeCell ref="A5:A8"/>
    <mergeCell ref="Q5:Q8"/>
    <mergeCell ref="F6:F8"/>
    <mergeCell ref="G6:G8"/>
    <mergeCell ref="C5:C8"/>
    <mergeCell ref="F4:G4"/>
    <mergeCell ref="P5:P8"/>
    <mergeCell ref="I5:I8"/>
    <mergeCell ref="F5:H5"/>
    <mergeCell ref="H6:H8"/>
    <mergeCell ref="M5:M8"/>
    <mergeCell ref="K5:K8"/>
    <mergeCell ref="L5:L8"/>
    <mergeCell ref="J5:J8"/>
  </mergeCells>
  <pageMargins left="0.74803149606299213" right="0.74803149606299213" top="0.74803149606299213" bottom="0.74803149606299213" header="0.31496062992125984" footer="0.31496062992125984"/>
  <pageSetup paperSize="9" scale="90" orientation="landscape" blackAndWhite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zoomScaleNormal="100" zoomScaleSheetLayoutView="100" workbookViewId="0">
      <selection activeCell="A11" sqref="A11:XFD11"/>
    </sheetView>
  </sheetViews>
  <sheetFormatPr defaultRowHeight="21.75" x14ac:dyDescent="0.5"/>
  <cols>
    <col min="1" max="1" width="5.85546875" style="3" customWidth="1"/>
    <col min="2" max="2" width="6.140625" style="3" customWidth="1"/>
    <col min="3" max="3" width="6.7109375" style="3" customWidth="1"/>
    <col min="4" max="4" width="6" style="3" customWidth="1"/>
    <col min="5" max="5" width="41.7109375" style="1" customWidth="1"/>
    <col min="6" max="6" width="13" style="264" customWidth="1"/>
    <col min="7" max="7" width="14.140625" style="106" customWidth="1"/>
    <col min="8" max="8" width="14.140625" style="106" hidden="1" customWidth="1"/>
    <col min="9" max="9" width="30.7109375" style="106" hidden="1" customWidth="1"/>
    <col min="10" max="10" width="13.140625" style="106" hidden="1" customWidth="1"/>
    <col min="11" max="11" width="0.28515625" style="156" hidden="1" customWidth="1"/>
    <col min="12" max="12" width="14.28515625" style="156" hidden="1" customWidth="1"/>
    <col min="13" max="14" width="30.7109375" style="106" customWidth="1"/>
    <col min="15" max="15" width="4.7109375" style="473" customWidth="1"/>
    <col min="16" max="16" width="19.5703125" style="434" bestFit="1" customWidth="1"/>
    <col min="17" max="17" width="9.140625" style="434"/>
    <col min="18" max="18" width="11" style="434" bestFit="1" customWidth="1"/>
    <col min="19" max="20" width="9.140625" style="434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78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78"/>
      <c r="P2" s="435" t="s">
        <v>522</v>
      </c>
      <c r="Q2" s="434">
        <v>2</v>
      </c>
      <c r="R2" s="436" t="e">
        <f>SUM(#REF!)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149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78"/>
      <c r="P3" s="437" t="s">
        <v>523</v>
      </c>
      <c r="Q3" s="438" t="s">
        <v>209</v>
      </c>
      <c r="R3" s="439" t="s">
        <v>209</v>
      </c>
      <c r="S3" s="440" t="s">
        <v>209</v>
      </c>
      <c r="T3" s="439" t="s">
        <v>209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74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74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74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74"/>
      <c r="Q8" s="788"/>
      <c r="R8" s="788"/>
    </row>
    <row r="9" spans="1:39" x14ac:dyDescent="0.5">
      <c r="A9" s="12"/>
      <c r="B9" s="12"/>
      <c r="C9" s="12"/>
      <c r="D9" s="12"/>
      <c r="E9" s="32" t="s">
        <v>36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6"/>
      <c r="P10" s="437"/>
      <c r="Q10" s="437"/>
      <c r="R10" s="437"/>
      <c r="S10" s="437"/>
      <c r="T10" s="437"/>
    </row>
    <row r="11" spans="1:39" s="19" customFormat="1" x14ac:dyDescent="0.2">
      <c r="A11" s="275"/>
      <c r="B11" s="698"/>
      <c r="C11" s="625"/>
      <c r="D11" s="275"/>
      <c r="E11" s="611"/>
      <c r="F11" s="612"/>
      <c r="G11" s="298"/>
      <c r="H11" s="298"/>
      <c r="I11" s="548"/>
      <c r="J11" s="546"/>
      <c r="K11" s="547"/>
      <c r="L11" s="547"/>
      <c r="M11" s="548"/>
      <c r="N11" s="548"/>
      <c r="O11" s="464"/>
      <c r="P11" s="453"/>
      <c r="Q11" s="453"/>
      <c r="R11" s="453"/>
      <c r="S11" s="453"/>
      <c r="T11" s="453"/>
    </row>
    <row r="12" spans="1:39" s="9" customFormat="1" x14ac:dyDescent="0.2">
      <c r="A12" s="13"/>
      <c r="B12" s="307"/>
      <c r="C12" s="13"/>
      <c r="D12" s="13"/>
      <c r="E12" s="7"/>
      <c r="F12" s="257"/>
      <c r="G12" s="11"/>
      <c r="H12" s="11"/>
      <c r="I12" s="11"/>
      <c r="J12" s="11"/>
      <c r="K12" s="10"/>
      <c r="L12" s="10"/>
      <c r="M12" s="11"/>
      <c r="N12" s="11"/>
      <c r="O12" s="446"/>
      <c r="P12" s="437"/>
      <c r="Q12" s="437"/>
      <c r="R12" s="437"/>
      <c r="S12" s="437"/>
      <c r="T12" s="437"/>
    </row>
    <row r="13" spans="1:39" s="14" customFormat="1" ht="22.5" thickBot="1" x14ac:dyDescent="0.55000000000000004">
      <c r="A13" s="308">
        <f>+A11</f>
        <v>0</v>
      </c>
      <c r="B13" s="241"/>
      <c r="C13" s="241"/>
      <c r="D13" s="241"/>
      <c r="E13" s="242" t="s">
        <v>47</v>
      </c>
      <c r="F13" s="258">
        <f>SUM(F11:F12)</f>
        <v>0</v>
      </c>
      <c r="G13" s="258">
        <f>SUM(G12:G12)</f>
        <v>0</v>
      </c>
      <c r="H13" s="258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258"/>
      <c r="O13" s="475"/>
      <c r="P13" s="450">
        <f>+F13+G13</f>
        <v>0</v>
      </c>
      <c r="Q13" s="451"/>
      <c r="R13" s="451"/>
      <c r="S13" s="452"/>
      <c r="T13" s="452"/>
    </row>
    <row r="14" spans="1:39" s="19" customFormat="1" ht="22.5" hidden="1" thickBot="1" x14ac:dyDescent="0.25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34"/>
      <c r="O14" s="476"/>
      <c r="P14" s="453"/>
      <c r="Q14" s="453"/>
      <c r="R14" s="453"/>
      <c r="S14" s="453"/>
      <c r="T14" s="453"/>
    </row>
    <row r="15" spans="1:39" s="19" customFormat="1" ht="22.5" hidden="1" thickBot="1" x14ac:dyDescent="0.25">
      <c r="A15" s="6"/>
      <c r="B15" s="6"/>
      <c r="C15" s="6"/>
      <c r="D15" s="6"/>
      <c r="E15" s="322"/>
      <c r="F15" s="320"/>
      <c r="G15" s="319"/>
      <c r="H15" s="319"/>
      <c r="I15" s="320"/>
      <c r="J15" s="320"/>
      <c r="K15" s="321"/>
      <c r="L15" s="321"/>
      <c r="M15" s="320"/>
      <c r="N15" s="320"/>
      <c r="O15" s="479"/>
      <c r="P15" s="453"/>
      <c r="Q15" s="453"/>
      <c r="R15" s="453"/>
      <c r="S15" s="453"/>
      <c r="T15" s="453"/>
    </row>
    <row r="16" spans="1:39" s="9" customFormat="1" ht="22.5" hidden="1" thickBot="1" x14ac:dyDescent="0.25">
      <c r="A16" s="6"/>
      <c r="B16" s="6"/>
      <c r="C16" s="6"/>
      <c r="D16" s="6"/>
      <c r="E16" s="7"/>
      <c r="F16" s="10"/>
      <c r="G16" s="11"/>
      <c r="H16" s="11"/>
      <c r="I16" s="11"/>
      <c r="J16" s="11"/>
      <c r="K16" s="10"/>
      <c r="L16" s="10"/>
      <c r="M16" s="11"/>
      <c r="N16" s="11"/>
      <c r="O16" s="446"/>
      <c r="P16" s="437"/>
      <c r="Q16" s="437"/>
      <c r="R16" s="437"/>
      <c r="S16" s="437"/>
      <c r="T16" s="437"/>
    </row>
    <row r="17" spans="1:47" s="19" customFormat="1" ht="22.5" hidden="1" thickBot="1" x14ac:dyDescent="0.55000000000000004">
      <c r="A17" s="244"/>
      <c r="B17" s="244"/>
      <c r="C17" s="244"/>
      <c r="D17" s="244"/>
      <c r="E17" s="245" t="s">
        <v>33</v>
      </c>
      <c r="F17" s="259">
        <f>SUM(F16:F16)</f>
        <v>0</v>
      </c>
      <c r="G17" s="246">
        <f>SUM(G15:G16)</f>
        <v>0</v>
      </c>
      <c r="H17" s="246">
        <f>SUM(H15:H16)</f>
        <v>0</v>
      </c>
      <c r="I17" s="259"/>
      <c r="J17" s="259">
        <f>SUM(J16:J16)</f>
        <v>0</v>
      </c>
      <c r="K17" s="259">
        <f>SUM(K16:K16)</f>
        <v>0</v>
      </c>
      <c r="L17" s="259">
        <f>SUM(L16:L16)</f>
        <v>0</v>
      </c>
      <c r="M17" s="259"/>
      <c r="N17" s="259"/>
      <c r="O17" s="474"/>
      <c r="P17" s="455">
        <f>+F17+G17</f>
        <v>0</v>
      </c>
      <c r="Q17" s="451"/>
      <c r="R17" s="451"/>
      <c r="S17" s="453"/>
      <c r="T17" s="453"/>
    </row>
    <row r="18" spans="1:47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172</v>
      </c>
      <c r="F18" s="260">
        <f>F13+F17</f>
        <v>0</v>
      </c>
      <c r="G18" s="310">
        <f>+G13+G17</f>
        <v>0</v>
      </c>
      <c r="H18" s="310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477"/>
      <c r="P18" s="436">
        <f>+P13+P17</f>
        <v>0</v>
      </c>
      <c r="Q18" s="457"/>
      <c r="R18" s="457"/>
      <c r="S18" s="434"/>
      <c r="T18" s="434"/>
      <c r="U18" s="2"/>
      <c r="V18" s="2"/>
      <c r="W18" s="2"/>
      <c r="X18" s="2"/>
      <c r="Y18" s="2"/>
      <c r="Z18" s="2"/>
      <c r="AA18" s="2"/>
      <c r="AB18" s="2"/>
    </row>
    <row r="19" spans="1:47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20"/>
      <c r="O19" s="446"/>
      <c r="P19" s="437"/>
      <c r="Q19" s="437"/>
      <c r="R19" s="437"/>
      <c r="S19" s="437"/>
      <c r="T19" s="437"/>
    </row>
    <row r="20" spans="1:47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20"/>
      <c r="O20" s="446"/>
      <c r="P20" s="437"/>
      <c r="Q20" s="437"/>
      <c r="R20" s="437"/>
      <c r="S20" s="437"/>
      <c r="T20" s="437"/>
    </row>
    <row r="22" spans="1:47" s="23" customFormat="1" ht="22.5" thickBot="1" x14ac:dyDescent="0.55000000000000004">
      <c r="A22" s="22"/>
      <c r="B22" s="22"/>
      <c r="C22" s="22"/>
      <c r="D22" s="22"/>
      <c r="E22" s="81" t="s">
        <v>99</v>
      </c>
      <c r="F22" s="262"/>
      <c r="G22" s="238"/>
      <c r="H22" s="125"/>
      <c r="I22" s="125"/>
      <c r="J22" s="125"/>
      <c r="K22" s="190"/>
      <c r="L22" s="190"/>
      <c r="M22" s="125"/>
      <c r="N22" s="125"/>
      <c r="O22" s="473"/>
      <c r="P22" s="434"/>
      <c r="Q22" s="434"/>
      <c r="R22" s="434"/>
      <c r="S22" s="434"/>
      <c r="T22" s="43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</row>
    <row r="23" spans="1:47" s="23" customFormat="1" ht="22.5" thickTop="1" x14ac:dyDescent="0.5">
      <c r="A23" s="22"/>
      <c r="B23" s="22"/>
      <c r="C23" s="22"/>
      <c r="D23" s="22"/>
      <c r="E23" s="23" t="s">
        <v>25</v>
      </c>
      <c r="F23" s="263"/>
      <c r="G23" s="107"/>
      <c r="H23" s="107"/>
      <c r="I23" s="107"/>
      <c r="J23" s="107"/>
      <c r="K23" s="190"/>
      <c r="L23" s="190"/>
      <c r="M23" s="107"/>
      <c r="N23" s="107"/>
      <c r="O23" s="473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s="23" customFormat="1" x14ac:dyDescent="0.5">
      <c r="A24" s="22"/>
      <c r="B24" s="22"/>
      <c r="C24" s="22"/>
      <c r="D24" s="22"/>
      <c r="E24" s="23" t="s">
        <v>98</v>
      </c>
      <c r="F24" s="263"/>
      <c r="G24" s="107"/>
      <c r="H24" s="107"/>
      <c r="I24" s="107"/>
      <c r="J24" s="107"/>
      <c r="K24" s="190"/>
      <c r="L24" s="190"/>
      <c r="M24" s="107"/>
      <c r="N24" s="107"/>
      <c r="O24" s="473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E25" s="23" t="s">
        <v>18</v>
      </c>
      <c r="F25" s="263"/>
      <c r="G25" s="107"/>
      <c r="H25" s="107"/>
      <c r="I25" s="107"/>
      <c r="J25" s="107"/>
      <c r="K25" s="190"/>
      <c r="L25" s="190"/>
      <c r="M25" s="107"/>
      <c r="N25" s="107"/>
      <c r="O25" s="473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</sheetData>
  <autoFilter ref="O1:O25"/>
  <mergeCells count="21">
    <mergeCell ref="A5:A8"/>
    <mergeCell ref="B5:B8"/>
    <mergeCell ref="F5:H5"/>
    <mergeCell ref="I5:I8"/>
    <mergeCell ref="H6:H8"/>
    <mergeCell ref="A1:N1"/>
    <mergeCell ref="A2:N2"/>
    <mergeCell ref="A3:N3"/>
    <mergeCell ref="R5:R8"/>
    <mergeCell ref="D5:D8"/>
    <mergeCell ref="C5:C8"/>
    <mergeCell ref="F6:F8"/>
    <mergeCell ref="G6:G8"/>
    <mergeCell ref="Q5:Q8"/>
    <mergeCell ref="J5:J8"/>
    <mergeCell ref="M5:M8"/>
    <mergeCell ref="K5:K8"/>
    <mergeCell ref="L5:L8"/>
    <mergeCell ref="E5:E8"/>
    <mergeCell ref="N5:N8"/>
    <mergeCell ref="F4:G4"/>
  </mergeCells>
  <phoneticPr fontId="2" type="noConversion"/>
  <pageMargins left="0.74803149606299213" right="0.74803149606299213" top="0.59055118110236227" bottom="0.39370078740157483" header="0.51181102362204722" footer="0.51181102362204722"/>
  <pageSetup paperSize="9" scale="95" orientation="landscape" blackAndWhite="1" r:id="rId1"/>
  <headerFooter alignWithMargins="0"/>
  <rowBreaks count="1" manualBreakCount="1">
    <brk id="18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zoomScaleNormal="100" zoomScaleSheetLayoutView="100" workbookViewId="0">
      <selection activeCell="N7" sqref="N7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264" customWidth="1"/>
    <col min="7" max="8" width="15.42578125" style="106" customWidth="1"/>
    <col min="9" max="9" width="48.42578125" style="106" customWidth="1"/>
    <col min="10" max="10" width="13.140625" style="106" hidden="1" customWidth="1"/>
    <col min="11" max="11" width="12.28515625" style="156" hidden="1" customWidth="1"/>
    <col min="12" max="12" width="9.140625" style="156" hidden="1" customWidth="1"/>
    <col min="13" max="13" width="17.5703125" style="156" customWidth="1"/>
    <col min="14" max="14" width="8.7109375" style="2" customWidth="1"/>
    <col min="15" max="26" width="9.140625" style="2"/>
    <col min="27" max="16384" width="9.140625" style="1"/>
  </cols>
  <sheetData>
    <row r="1" spans="1:37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2"/>
      <c r="O1" s="2" t="s">
        <v>524</v>
      </c>
      <c r="Q1" s="2" t="s">
        <v>202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347" t="s">
        <v>522</v>
      </c>
      <c r="N2" s="2" t="s">
        <v>209</v>
      </c>
      <c r="O2" s="146">
        <f>SUM(F11:F12)</f>
        <v>0</v>
      </c>
      <c r="P2" s="146" t="s">
        <v>209</v>
      </c>
      <c r="Q2" s="2" t="s">
        <v>209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5">
      <c r="A3" s="775" t="s">
        <v>149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9" t="s">
        <v>523</v>
      </c>
      <c r="N3" s="1" t="s">
        <v>209</v>
      </c>
      <c r="O3" s="430" t="s">
        <v>209</v>
      </c>
      <c r="P3" s="431" t="s">
        <v>209</v>
      </c>
      <c r="Q3" s="430" t="s">
        <v>209</v>
      </c>
      <c r="R3" s="1"/>
      <c r="S3" s="1"/>
      <c r="T3" s="1"/>
      <c r="U3" s="1"/>
      <c r="V3" s="1"/>
      <c r="W3" s="1"/>
      <c r="X3" s="1"/>
      <c r="Y3" s="1"/>
      <c r="Z3" s="1"/>
    </row>
    <row r="4" spans="1:37" ht="18" customHeight="1" x14ac:dyDescent="0.5">
      <c r="A4" s="1"/>
      <c r="B4" s="1"/>
      <c r="C4" s="1"/>
      <c r="D4" s="1"/>
      <c r="F4" s="787"/>
      <c r="G4" s="787"/>
      <c r="H4" s="5"/>
      <c r="I4" s="5"/>
      <c r="J4" s="5"/>
      <c r="M4" s="2" t="s">
        <v>536</v>
      </c>
      <c r="N4" s="239" t="s">
        <v>209</v>
      </c>
      <c r="O4" s="239" t="s">
        <v>209</v>
      </c>
      <c r="P4" s="2" t="s">
        <v>209</v>
      </c>
      <c r="Q4" s="2" t="s">
        <v>209</v>
      </c>
    </row>
    <row r="5" spans="1:37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211</v>
      </c>
      <c r="J5" s="767" t="s">
        <v>122</v>
      </c>
      <c r="K5" s="767" t="s">
        <v>121</v>
      </c>
      <c r="L5" s="776" t="s">
        <v>123</v>
      </c>
      <c r="M5" s="423"/>
      <c r="O5" s="766" t="s">
        <v>142</v>
      </c>
      <c r="P5" s="766" t="s">
        <v>150</v>
      </c>
    </row>
    <row r="6" spans="1:37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423"/>
      <c r="O6" s="766"/>
      <c r="P6" s="766"/>
    </row>
    <row r="7" spans="1:37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423"/>
      <c r="O7" s="766"/>
      <c r="P7" s="766"/>
    </row>
    <row r="8" spans="1:37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423"/>
      <c r="O8" s="766"/>
      <c r="P8" s="766"/>
    </row>
    <row r="9" spans="1:37" x14ac:dyDescent="0.5">
      <c r="A9" s="12"/>
      <c r="B9" s="12"/>
      <c r="C9" s="12"/>
      <c r="D9" s="12"/>
      <c r="E9" s="32" t="s">
        <v>43</v>
      </c>
      <c r="F9" s="256"/>
      <c r="G9" s="105"/>
      <c r="H9" s="105"/>
      <c r="I9" s="105"/>
      <c r="J9" s="105"/>
      <c r="K9" s="189"/>
      <c r="L9" s="189"/>
    </row>
    <row r="10" spans="1:37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04"/>
    </row>
    <row r="11" spans="1:37" s="9" customFormat="1" x14ac:dyDescent="0.2">
      <c r="A11" s="6"/>
      <c r="B11" s="6"/>
      <c r="C11" s="6"/>
      <c r="D11" s="6"/>
      <c r="E11" s="332"/>
      <c r="F11" s="269"/>
      <c r="G11" s="11"/>
      <c r="H11" s="11"/>
      <c r="I11" s="257"/>
      <c r="J11" s="11"/>
      <c r="K11" s="10"/>
      <c r="L11" s="10"/>
      <c r="M11" s="104"/>
    </row>
    <row r="12" spans="1:37" s="9" customFormat="1" ht="22.5" customHeight="1" x14ac:dyDescent="0.2">
      <c r="A12" s="6"/>
      <c r="B12" s="6"/>
      <c r="C12" s="6"/>
      <c r="D12" s="6"/>
      <c r="E12" s="17"/>
      <c r="F12" s="29"/>
      <c r="G12" s="11"/>
      <c r="H12" s="11"/>
      <c r="I12" s="11"/>
      <c r="J12" s="11"/>
      <c r="K12" s="10"/>
      <c r="L12" s="10"/>
      <c r="M12" s="104"/>
    </row>
    <row r="13" spans="1:37" s="14" customForma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58">
        <f>SUM(G12:G12)</f>
        <v>0</v>
      </c>
      <c r="H13" s="258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425"/>
      <c r="N13" s="144">
        <f>+F13+G13</f>
        <v>0</v>
      </c>
      <c r="O13" s="240"/>
      <c r="P13" s="240"/>
    </row>
    <row r="14" spans="1:37" s="19" customFormat="1" x14ac:dyDescent="0.2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424"/>
    </row>
    <row r="15" spans="1:37" s="19" customFormat="1" x14ac:dyDescent="0.2">
      <c r="A15" s="17"/>
      <c r="B15" s="17"/>
      <c r="C15" s="17"/>
      <c r="D15" s="17"/>
      <c r="E15" s="30"/>
      <c r="F15" s="336"/>
      <c r="G15" s="34"/>
      <c r="H15" s="34"/>
      <c r="I15" s="34"/>
      <c r="J15" s="34"/>
      <c r="K15" s="18"/>
      <c r="L15" s="18"/>
      <c r="M15" s="424"/>
    </row>
    <row r="16" spans="1:37" s="9" customFormat="1" ht="21" customHeight="1" x14ac:dyDescent="0.2">
      <c r="A16" s="6"/>
      <c r="B16" s="6"/>
      <c r="C16" s="6"/>
      <c r="D16" s="6"/>
      <c r="E16" s="7"/>
      <c r="F16" s="335"/>
      <c r="G16" s="11"/>
      <c r="H16" s="11"/>
      <c r="I16" s="11"/>
      <c r="J16" s="11"/>
      <c r="K16" s="10"/>
      <c r="L16" s="10"/>
      <c r="M16" s="104"/>
    </row>
    <row r="17" spans="1:45" s="19" customFormat="1" ht="22.5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330">
        <f>SUM(F16:F16)</f>
        <v>0</v>
      </c>
      <c r="G17" s="259">
        <f>SUM(G16:G16)</f>
        <v>0</v>
      </c>
      <c r="H17" s="259">
        <f>SUM(H16:H16)</f>
        <v>0</v>
      </c>
      <c r="I17" s="259"/>
      <c r="J17" s="259">
        <f>SUM(J16:J16)</f>
        <v>0</v>
      </c>
      <c r="K17" s="259">
        <f>SUM(K16:K16)</f>
        <v>0</v>
      </c>
      <c r="L17" s="259">
        <f>SUM(L16:L16)</f>
        <v>0</v>
      </c>
      <c r="M17" s="423"/>
      <c r="N17" s="145">
        <f>+F17+G17</f>
        <v>0</v>
      </c>
      <c r="O17" s="240"/>
      <c r="P17" s="240"/>
    </row>
    <row r="18" spans="1:45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173</v>
      </c>
      <c r="F18" s="331">
        <f>F13+F17</f>
        <v>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426"/>
      <c r="N18" s="146">
        <f>+N13+N17</f>
        <v>0</v>
      </c>
      <c r="O18" s="250"/>
      <c r="P18" s="25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45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104"/>
    </row>
    <row r="20" spans="1:45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104"/>
    </row>
    <row r="22" spans="1:45" s="23" customFormat="1" ht="22.5" thickBot="1" x14ac:dyDescent="0.55000000000000004">
      <c r="A22" s="22"/>
      <c r="B22" s="22"/>
      <c r="C22" s="22"/>
      <c r="D22" s="22"/>
      <c r="E22" s="81" t="s">
        <v>99</v>
      </c>
      <c r="F22" s="262"/>
      <c r="G22" s="238"/>
      <c r="H22" s="125"/>
      <c r="I22" s="125"/>
      <c r="J22" s="125"/>
      <c r="K22" s="190"/>
      <c r="L22" s="190"/>
      <c r="M22" s="190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</row>
    <row r="23" spans="1:45" s="23" customFormat="1" ht="22.5" thickTop="1" x14ac:dyDescent="0.5">
      <c r="A23" s="22"/>
      <c r="B23" s="22"/>
      <c r="C23" s="22"/>
      <c r="D23" s="22"/>
      <c r="E23" s="23" t="s">
        <v>25</v>
      </c>
      <c r="F23" s="263"/>
      <c r="G23" s="107"/>
      <c r="H23" s="107"/>
      <c r="I23" s="107"/>
      <c r="J23" s="107"/>
      <c r="K23" s="190"/>
      <c r="L23" s="190"/>
      <c r="M23" s="190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</row>
    <row r="24" spans="1:45" s="23" customFormat="1" x14ac:dyDescent="0.5">
      <c r="A24" s="22"/>
      <c r="B24" s="22"/>
      <c r="C24" s="22"/>
      <c r="D24" s="22"/>
      <c r="E24" s="23" t="s">
        <v>98</v>
      </c>
      <c r="F24" s="263"/>
      <c r="G24" s="107"/>
      <c r="H24" s="107"/>
      <c r="I24" s="107"/>
      <c r="J24" s="107"/>
      <c r="K24" s="190"/>
      <c r="L24" s="190"/>
      <c r="M24" s="190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</row>
    <row r="25" spans="1:45" s="23" customFormat="1" x14ac:dyDescent="0.5">
      <c r="A25" s="22"/>
      <c r="B25" s="22"/>
      <c r="C25" s="22"/>
      <c r="D25" s="22"/>
      <c r="E25" s="23" t="s">
        <v>18</v>
      </c>
      <c r="F25" s="263"/>
      <c r="G25" s="107"/>
      <c r="H25" s="107"/>
      <c r="I25" s="107"/>
      <c r="J25" s="107"/>
      <c r="K25" s="190"/>
      <c r="L25" s="190"/>
      <c r="M25" s="190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</row>
  </sheetData>
  <mergeCells count="19">
    <mergeCell ref="A1:L1"/>
    <mergeCell ref="A2:L2"/>
    <mergeCell ref="A3:L3"/>
    <mergeCell ref="K5:K8"/>
    <mergeCell ref="L5:L8"/>
    <mergeCell ref="A5:A8"/>
    <mergeCell ref="J5:J8"/>
    <mergeCell ref="B5:B8"/>
    <mergeCell ref="D5:D8"/>
    <mergeCell ref="E5:E8"/>
    <mergeCell ref="P5:P8"/>
    <mergeCell ref="F6:F8"/>
    <mergeCell ref="G6:G8"/>
    <mergeCell ref="C5:C8"/>
    <mergeCell ref="F4:G4"/>
    <mergeCell ref="O5:O8"/>
    <mergeCell ref="I5:I8"/>
    <mergeCell ref="F5:H5"/>
    <mergeCell ref="H6:H8"/>
  </mergeCells>
  <pageMargins left="0.70866141732283472" right="0.70866141732283472" top="0.48" bottom="0.19685039370078741" header="0.26" footer="0.31496062992125984"/>
  <pageSetup paperSize="9" scale="85" orientation="landscape" blackAndWhite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zoomScaleNormal="100" zoomScaleSheetLayoutView="100" workbookViewId="0">
      <selection activeCell="O14" sqref="O14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28515625" style="3" customWidth="1"/>
    <col min="5" max="5" width="43" style="1" customWidth="1"/>
    <col min="6" max="6" width="14.5703125" style="4" customWidth="1"/>
    <col min="7" max="7" width="13.42578125" style="106" customWidth="1"/>
    <col min="8" max="8" width="12.5703125" style="106" hidden="1" customWidth="1"/>
    <col min="9" max="9" width="29.28515625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29.28515625" style="106" customWidth="1"/>
    <col min="14" max="14" width="6.42578125" style="473" customWidth="1"/>
    <col min="15" max="15" width="19.5703125" style="434" bestFit="1" customWidth="1"/>
    <col min="16" max="16" width="9.140625" style="434"/>
    <col min="17" max="17" width="12.42578125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478"/>
      <c r="Q1" s="434" t="s">
        <v>524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478"/>
      <c r="O2" s="435" t="s">
        <v>522</v>
      </c>
      <c r="P2" s="434">
        <v>7</v>
      </c>
      <c r="Q2" s="436">
        <f>SUM(F11:F12)</f>
        <v>0</v>
      </c>
      <c r="R2" s="436" t="s">
        <v>209</v>
      </c>
      <c r="S2" s="434" t="s">
        <v>209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75" t="s">
        <v>539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478"/>
      <c r="O3" s="437" t="s">
        <v>523</v>
      </c>
      <c r="P3" s="438" t="s">
        <v>209</v>
      </c>
      <c r="Q3" s="439" t="s">
        <v>209</v>
      </c>
      <c r="R3" s="440" t="s">
        <v>209</v>
      </c>
      <c r="S3" s="439" t="s">
        <v>209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O4" s="434" t="s">
        <v>537</v>
      </c>
      <c r="P4" s="442" t="s">
        <v>209</v>
      </c>
      <c r="Q4" s="442" t="s">
        <v>209</v>
      </c>
      <c r="R4" s="434" t="s">
        <v>209</v>
      </c>
      <c r="S4" s="434" t="s">
        <v>209</v>
      </c>
    </row>
    <row r="5" spans="1:38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474"/>
      <c r="P5" s="788" t="s">
        <v>142</v>
      </c>
      <c r="Q5" s="788" t="s">
        <v>150</v>
      </c>
    </row>
    <row r="6" spans="1:38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474"/>
      <c r="P6" s="788"/>
      <c r="Q6" s="788"/>
    </row>
    <row r="7" spans="1:38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474"/>
      <c r="P7" s="788"/>
      <c r="Q7" s="788"/>
    </row>
    <row r="8" spans="1:38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474"/>
      <c r="P8" s="788"/>
      <c r="Q8" s="788"/>
    </row>
    <row r="9" spans="1:38" x14ac:dyDescent="0.5">
      <c r="A9" s="12"/>
      <c r="B9" s="12"/>
      <c r="C9" s="12"/>
      <c r="D9" s="12"/>
      <c r="E9" s="32" t="s">
        <v>39</v>
      </c>
      <c r="F9" s="12"/>
      <c r="G9" s="105"/>
      <c r="H9" s="105"/>
      <c r="I9" s="105"/>
      <c r="J9" s="105"/>
      <c r="K9" s="189"/>
      <c r="L9" s="189"/>
      <c r="M9" s="105"/>
    </row>
    <row r="10" spans="1:38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446"/>
      <c r="O10" s="437"/>
      <c r="P10" s="437"/>
      <c r="Q10" s="437"/>
      <c r="R10" s="437"/>
      <c r="S10" s="437"/>
    </row>
    <row r="11" spans="1:38" s="9" customFormat="1" x14ac:dyDescent="0.2">
      <c r="A11" s="271"/>
      <c r="B11" s="271"/>
      <c r="C11" s="370"/>
      <c r="D11" s="271"/>
      <c r="E11" s="361"/>
      <c r="F11" s="367"/>
      <c r="G11" s="269"/>
      <c r="H11" s="269"/>
      <c r="I11" s="269"/>
      <c r="J11" s="11"/>
      <c r="K11" s="10"/>
      <c r="L11" s="10"/>
      <c r="M11" s="269"/>
      <c r="N11" s="445">
        <v>1</v>
      </c>
      <c r="O11" s="437"/>
      <c r="P11" s="437"/>
      <c r="Q11" s="437"/>
      <c r="R11" s="437"/>
      <c r="S11" s="437"/>
    </row>
    <row r="12" spans="1:38" s="9" customFormat="1" x14ac:dyDescent="0.2">
      <c r="A12" s="271"/>
      <c r="B12" s="271"/>
      <c r="C12" s="370"/>
      <c r="D12" s="271"/>
      <c r="E12" s="361"/>
      <c r="F12" s="367"/>
      <c r="G12" s="269"/>
      <c r="H12" s="269"/>
      <c r="I12" s="269"/>
      <c r="J12" s="11"/>
      <c r="K12" s="10"/>
      <c r="L12" s="10"/>
      <c r="M12" s="269"/>
      <c r="N12" s="445">
        <v>1</v>
      </c>
      <c r="O12" s="437"/>
      <c r="P12" s="437"/>
      <c r="Q12" s="437"/>
      <c r="R12" s="437"/>
      <c r="S12" s="437"/>
    </row>
    <row r="13" spans="1:38" s="9" customFormat="1" x14ac:dyDescent="0.2">
      <c r="A13" s="6"/>
      <c r="B13" s="13"/>
      <c r="C13" s="13"/>
      <c r="D13" s="13"/>
      <c r="E13" s="7"/>
      <c r="F13" s="16"/>
      <c r="G13" s="11"/>
      <c r="H13" s="11"/>
      <c r="I13" s="11"/>
      <c r="J13" s="11"/>
      <c r="K13" s="10"/>
      <c r="L13" s="10"/>
      <c r="M13" s="11"/>
      <c r="N13" s="446"/>
      <c r="O13" s="437"/>
      <c r="P13" s="437"/>
      <c r="Q13" s="437"/>
      <c r="R13" s="437"/>
      <c r="S13" s="437"/>
    </row>
    <row r="14" spans="1:38" s="14" customFormat="1" ht="22.5" thickBot="1" x14ac:dyDescent="0.55000000000000004">
      <c r="A14" s="241">
        <f>+A12</f>
        <v>0</v>
      </c>
      <c r="B14" s="241"/>
      <c r="C14" s="241"/>
      <c r="D14" s="241"/>
      <c r="E14" s="242" t="s">
        <v>47</v>
      </c>
      <c r="F14" s="329">
        <f>SUM(F11:F13)</f>
        <v>0</v>
      </c>
      <c r="G14" s="243">
        <f>SUM(G13:G13)</f>
        <v>0</v>
      </c>
      <c r="H14" s="243">
        <f>SUM(H13:H13)</f>
        <v>0</v>
      </c>
      <c r="I14" s="243"/>
      <c r="J14" s="243">
        <f>SUM(J13:J13)</f>
        <v>0</v>
      </c>
      <c r="K14" s="243">
        <f>SUM(K13:K13)</f>
        <v>0</v>
      </c>
      <c r="L14" s="243">
        <f>SUM(L13:L13)</f>
        <v>0</v>
      </c>
      <c r="M14" s="243"/>
      <c r="N14" s="480"/>
      <c r="O14" s="450">
        <f>+F14+G14</f>
        <v>0</v>
      </c>
      <c r="P14" s="451"/>
      <c r="Q14" s="451"/>
      <c r="R14" s="452"/>
      <c r="S14" s="452"/>
    </row>
    <row r="15" spans="1:38" s="19" customFormat="1" ht="22.5" hidden="1" thickBot="1" x14ac:dyDescent="0.25">
      <c r="A15" s="17"/>
      <c r="B15" s="17"/>
      <c r="C15" s="17"/>
      <c r="D15" s="17"/>
      <c r="E15" s="30" t="s">
        <v>10</v>
      </c>
      <c r="F15" s="33"/>
      <c r="G15" s="34"/>
      <c r="H15" s="34"/>
      <c r="I15" s="34"/>
      <c r="J15" s="34"/>
      <c r="K15" s="18"/>
      <c r="L15" s="18"/>
      <c r="M15" s="34"/>
      <c r="N15" s="476"/>
      <c r="O15" s="453"/>
      <c r="P15" s="453"/>
      <c r="Q15" s="453"/>
      <c r="R15" s="453"/>
      <c r="S15" s="453"/>
    </row>
    <row r="16" spans="1:38" s="19" customFormat="1" ht="22.5" hidden="1" thickBot="1" x14ac:dyDescent="0.25">
      <c r="A16" s="17"/>
      <c r="B16" s="17"/>
      <c r="C16" s="17"/>
      <c r="D16" s="17"/>
      <c r="E16" s="30"/>
      <c r="F16" s="33"/>
      <c r="G16" s="34"/>
      <c r="H16" s="34"/>
      <c r="I16" s="34"/>
      <c r="J16" s="34"/>
      <c r="K16" s="18"/>
      <c r="L16" s="18"/>
      <c r="M16" s="34"/>
      <c r="N16" s="476"/>
      <c r="O16" s="453"/>
      <c r="P16" s="453"/>
      <c r="Q16" s="453"/>
      <c r="R16" s="453"/>
      <c r="S16" s="453"/>
    </row>
    <row r="17" spans="1:46" s="9" customFormat="1" ht="22.5" hidden="1" thickBot="1" x14ac:dyDescent="0.25">
      <c r="A17" s="6"/>
      <c r="B17" s="6"/>
      <c r="C17" s="6"/>
      <c r="D17" s="6"/>
      <c r="E17" s="7"/>
      <c r="F17" s="8"/>
      <c r="G17" s="11"/>
      <c r="H17" s="11"/>
      <c r="I17" s="11"/>
      <c r="J17" s="11"/>
      <c r="K17" s="10"/>
      <c r="L17" s="10"/>
      <c r="M17" s="11"/>
      <c r="N17" s="446"/>
      <c r="O17" s="437"/>
      <c r="P17" s="437"/>
      <c r="Q17" s="437"/>
      <c r="R17" s="437"/>
      <c r="S17" s="437"/>
    </row>
    <row r="18" spans="1:46" s="19" customFormat="1" ht="22.5" hidden="1" thickBot="1" x14ac:dyDescent="0.55000000000000004">
      <c r="A18" s="244">
        <f>+A16</f>
        <v>0</v>
      </c>
      <c r="B18" s="244"/>
      <c r="C18" s="244"/>
      <c r="D18" s="244"/>
      <c r="E18" s="245" t="s">
        <v>33</v>
      </c>
      <c r="F18" s="330">
        <f>SUM(F17:F17)</f>
        <v>0</v>
      </c>
      <c r="G18" s="246">
        <f>SUM(G17:G17)</f>
        <v>0</v>
      </c>
      <c r="H18" s="246">
        <f>SUM(H17:H17)</f>
        <v>0</v>
      </c>
      <c r="I18" s="246"/>
      <c r="J18" s="246">
        <f>SUM(J17:J17)</f>
        <v>0</v>
      </c>
      <c r="K18" s="246">
        <f>SUM(K17:K17)</f>
        <v>0</v>
      </c>
      <c r="L18" s="246">
        <f>SUM(L17:L17)</f>
        <v>0</v>
      </c>
      <c r="M18" s="246"/>
      <c r="N18" s="481"/>
      <c r="O18" s="455">
        <f>+F18+G18</f>
        <v>0</v>
      </c>
      <c r="P18" s="451"/>
      <c r="Q18" s="451"/>
      <c r="R18" s="453"/>
      <c r="S18" s="453"/>
    </row>
    <row r="19" spans="1:46" s="28" customFormat="1" ht="22.5" thickBot="1" x14ac:dyDescent="0.55000000000000004">
      <c r="A19" s="247">
        <f>+A14+A18</f>
        <v>0</v>
      </c>
      <c r="B19" s="248"/>
      <c r="C19" s="248"/>
      <c r="D19" s="248"/>
      <c r="E19" s="248" t="s">
        <v>160</v>
      </c>
      <c r="F19" s="331">
        <f>F14+F18</f>
        <v>0</v>
      </c>
      <c r="G19" s="310">
        <f>+G14+G18</f>
        <v>0</v>
      </c>
      <c r="H19" s="310">
        <f>+H14+H18</f>
        <v>0</v>
      </c>
      <c r="I19" s="249"/>
      <c r="J19" s="249">
        <f>J14+J18</f>
        <v>0</v>
      </c>
      <c r="K19" s="249">
        <f>K14+K18</f>
        <v>0</v>
      </c>
      <c r="L19" s="249">
        <f>L14+L18</f>
        <v>0</v>
      </c>
      <c r="M19" s="249"/>
      <c r="N19" s="477"/>
      <c r="O19" s="436">
        <f>+O14+O18</f>
        <v>0</v>
      </c>
      <c r="P19" s="457"/>
      <c r="Q19" s="457"/>
      <c r="R19" s="434"/>
      <c r="S19" s="434"/>
      <c r="T19" s="2"/>
      <c r="U19" s="2"/>
      <c r="V19" s="2"/>
      <c r="W19" s="2"/>
      <c r="X19" s="2"/>
      <c r="Y19" s="2"/>
      <c r="Z19" s="2"/>
      <c r="AA19" s="2"/>
    </row>
    <row r="20" spans="1:46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20"/>
      <c r="N20" s="446"/>
      <c r="O20" s="437"/>
      <c r="P20" s="437"/>
      <c r="Q20" s="437"/>
      <c r="R20" s="437"/>
      <c r="S20" s="437"/>
    </row>
    <row r="21" spans="1:46" s="9" customFormat="1" x14ac:dyDescent="0.5">
      <c r="A21" s="15"/>
      <c r="B21" s="15"/>
      <c r="C21" s="15"/>
      <c r="D21" s="15"/>
      <c r="E21" s="31"/>
      <c r="F21" s="35"/>
      <c r="G21" s="20"/>
      <c r="H21" s="20"/>
      <c r="I21" s="20"/>
      <c r="J21" s="20"/>
      <c r="K21" s="104"/>
      <c r="L21" s="104"/>
      <c r="M21" s="20"/>
      <c r="N21" s="446"/>
      <c r="O21" s="437"/>
      <c r="P21" s="437"/>
      <c r="Q21" s="437"/>
      <c r="R21" s="437"/>
      <c r="S21" s="437"/>
    </row>
    <row r="23" spans="1:46" s="23" customFormat="1" ht="22.5" thickBot="1" x14ac:dyDescent="0.55000000000000004">
      <c r="A23" s="22"/>
      <c r="B23" s="22"/>
      <c r="C23" s="22"/>
      <c r="D23" s="22"/>
      <c r="E23" s="81" t="s">
        <v>99</v>
      </c>
      <c r="F23" s="82"/>
      <c r="G23" s="238"/>
      <c r="H23" s="125"/>
      <c r="I23" s="125"/>
      <c r="J23" s="125"/>
      <c r="K23" s="190"/>
      <c r="L23" s="190"/>
      <c r="M23" s="125"/>
      <c r="N23" s="473"/>
      <c r="O23" s="434"/>
      <c r="P23" s="434"/>
      <c r="Q23" s="434"/>
      <c r="R23" s="434"/>
      <c r="S23" s="43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3" customFormat="1" ht="22.5" thickTop="1" x14ac:dyDescent="0.5">
      <c r="A24" s="22"/>
      <c r="B24" s="22"/>
      <c r="C24" s="22"/>
      <c r="D24" s="22"/>
      <c r="E24" s="23" t="s">
        <v>25</v>
      </c>
      <c r="F24" s="25"/>
      <c r="G24" s="107"/>
      <c r="H24" s="107"/>
      <c r="I24" s="107"/>
      <c r="J24" s="107"/>
      <c r="K24" s="190"/>
      <c r="L24" s="190"/>
      <c r="M24" s="107"/>
      <c r="N24" s="473"/>
      <c r="O24" s="434"/>
      <c r="P24" s="434"/>
      <c r="Q24" s="434"/>
      <c r="R24" s="434"/>
      <c r="S24" s="43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23" customFormat="1" x14ac:dyDescent="0.5">
      <c r="A25" s="22"/>
      <c r="B25" s="22"/>
      <c r="C25" s="22"/>
      <c r="D25" s="22"/>
      <c r="E25" s="23" t="s">
        <v>98</v>
      </c>
      <c r="F25" s="25"/>
      <c r="G25" s="107"/>
      <c r="H25" s="107"/>
      <c r="I25" s="107"/>
      <c r="J25" s="107"/>
      <c r="K25" s="190"/>
      <c r="L25" s="190"/>
      <c r="M25" s="107"/>
      <c r="N25" s="473"/>
      <c r="O25" s="434"/>
      <c r="P25" s="434"/>
      <c r="Q25" s="434"/>
      <c r="R25" s="434"/>
      <c r="S25" s="43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  <row r="26" spans="1:46" s="23" customFormat="1" x14ac:dyDescent="0.5">
      <c r="A26" s="22"/>
      <c r="B26" s="22"/>
      <c r="C26" s="22"/>
      <c r="D26" s="22"/>
      <c r="E26" s="23" t="s">
        <v>18</v>
      </c>
      <c r="F26" s="25"/>
      <c r="G26" s="107"/>
      <c r="H26" s="107"/>
      <c r="I26" s="107"/>
      <c r="J26" s="107"/>
      <c r="K26" s="190"/>
      <c r="L26" s="190"/>
      <c r="M26" s="107"/>
      <c r="N26" s="473"/>
      <c r="O26" s="434"/>
      <c r="P26" s="434"/>
      <c r="Q26" s="434"/>
      <c r="R26" s="434"/>
      <c r="S26" s="43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</sheetData>
  <autoFilter ref="N1:N26"/>
  <mergeCells count="20">
    <mergeCell ref="B5:B8"/>
    <mergeCell ref="D5:D8"/>
    <mergeCell ref="E5:E8"/>
    <mergeCell ref="M5:M8"/>
    <mergeCell ref="A1:M1"/>
    <mergeCell ref="A2:M2"/>
    <mergeCell ref="A3:M3"/>
    <mergeCell ref="A5:A8"/>
    <mergeCell ref="C5:C8"/>
    <mergeCell ref="Q5:Q8"/>
    <mergeCell ref="F4:G4"/>
    <mergeCell ref="P5:P8"/>
    <mergeCell ref="K5:K8"/>
    <mergeCell ref="L5:L8"/>
    <mergeCell ref="F6:F8"/>
    <mergeCell ref="J5:J8"/>
    <mergeCell ref="I5:I8"/>
    <mergeCell ref="F5:H5"/>
    <mergeCell ref="H6:H8"/>
    <mergeCell ref="G6:G8"/>
  </mergeCells>
  <pageMargins left="0.74803149606299213" right="0.74803149606299213" top="0.59055118110236227" bottom="0.59055118110236227" header="0.31496062992125984" footer="0.31496062992125984"/>
  <pageSetup paperSize="9" scale="90" orientation="landscape" blackAndWhite="1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zoomScaleNormal="100" zoomScaleSheetLayoutView="100" workbookViewId="0">
      <selection activeCell="G23" sqref="G2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7" width="15.42578125" style="106" customWidth="1"/>
    <col min="8" max="8" width="15.42578125" style="106" hidden="1" customWidth="1"/>
    <col min="9" max="9" width="31.28515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1.28515625" style="106" customWidth="1"/>
    <col min="15" max="15" width="19.5703125" style="434" bestFit="1" customWidth="1"/>
    <col min="16" max="16" width="9.140625" style="434"/>
    <col min="17" max="17" width="12.42578125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Q1" s="434" t="s">
        <v>524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35" t="s">
        <v>522</v>
      </c>
      <c r="P2" s="434">
        <v>10</v>
      </c>
      <c r="Q2" s="436" t="e">
        <f>SUM(#REF!)</f>
        <v>#REF!</v>
      </c>
      <c r="R2" s="436" t="s">
        <v>209</v>
      </c>
      <c r="S2" s="434" t="s">
        <v>209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75" t="s">
        <v>149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37" t="s">
        <v>523</v>
      </c>
      <c r="P3" s="438" t="s">
        <v>209</v>
      </c>
      <c r="Q3" s="439" t="s">
        <v>209</v>
      </c>
      <c r="R3" s="440" t="s">
        <v>209</v>
      </c>
      <c r="S3" s="439" t="s">
        <v>209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O4" s="434" t="s">
        <v>536</v>
      </c>
      <c r="P4" s="442" t="s">
        <v>209</v>
      </c>
      <c r="Q4" s="442" t="s">
        <v>209</v>
      </c>
      <c r="R4" s="434" t="s">
        <v>209</v>
      </c>
      <c r="S4" s="434" t="s">
        <v>209</v>
      </c>
    </row>
    <row r="5" spans="1:38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P5" s="788" t="s">
        <v>142</v>
      </c>
      <c r="Q5" s="788" t="s">
        <v>150</v>
      </c>
    </row>
    <row r="6" spans="1:38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P6" s="788"/>
      <c r="Q6" s="788"/>
    </row>
    <row r="7" spans="1:38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P7" s="788"/>
      <c r="Q7" s="788"/>
    </row>
    <row r="8" spans="1:38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P8" s="788"/>
      <c r="Q8" s="788"/>
    </row>
    <row r="9" spans="1:38" x14ac:dyDescent="0.5">
      <c r="A9" s="12"/>
      <c r="B9" s="12"/>
      <c r="C9" s="12"/>
      <c r="D9" s="12"/>
      <c r="E9" s="32" t="s">
        <v>42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8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37"/>
      <c r="P10" s="437"/>
      <c r="Q10" s="437"/>
      <c r="R10" s="437"/>
      <c r="S10" s="437"/>
    </row>
    <row r="11" spans="1:38" s="19" customFormat="1" x14ac:dyDescent="0.2">
      <c r="A11" s="275"/>
      <c r="B11" s="275"/>
      <c r="C11" s="625"/>
      <c r="D11" s="275"/>
      <c r="E11" s="611"/>
      <c r="F11" s="612"/>
      <c r="G11" s="298"/>
      <c r="H11" s="298"/>
      <c r="I11" s="513"/>
      <c r="J11" s="546"/>
      <c r="K11" s="547"/>
      <c r="L11" s="547"/>
      <c r="M11" s="548"/>
      <c r="N11" s="513"/>
      <c r="O11" s="453"/>
      <c r="P11" s="453"/>
      <c r="Q11" s="453"/>
      <c r="R11" s="453"/>
      <c r="S11" s="453"/>
    </row>
    <row r="12" spans="1:38" s="19" customFormat="1" x14ac:dyDescent="0.2">
      <c r="A12" s="275"/>
      <c r="B12" s="275"/>
      <c r="C12" s="625"/>
      <c r="D12" s="275"/>
      <c r="E12" s="611"/>
      <c r="F12" s="612"/>
      <c r="G12" s="298"/>
      <c r="H12" s="298"/>
      <c r="I12" s="513"/>
      <c r="J12" s="546"/>
      <c r="K12" s="547"/>
      <c r="L12" s="547"/>
      <c r="M12" s="548"/>
      <c r="N12" s="513"/>
      <c r="O12" s="453"/>
      <c r="P12" s="453"/>
      <c r="Q12" s="453"/>
      <c r="R12" s="453"/>
      <c r="S12" s="453"/>
    </row>
    <row r="13" spans="1:38" s="19" customFormat="1" x14ac:dyDescent="0.2">
      <c r="A13" s="275"/>
      <c r="B13" s="275"/>
      <c r="C13" s="625"/>
      <c r="D13" s="275"/>
      <c r="E13" s="611"/>
      <c r="F13" s="612"/>
      <c r="G13" s="298"/>
      <c r="H13" s="298"/>
      <c r="I13" s="513"/>
      <c r="J13" s="546"/>
      <c r="K13" s="547"/>
      <c r="L13" s="547"/>
      <c r="M13" s="548"/>
      <c r="N13" s="513"/>
      <c r="O13" s="453"/>
      <c r="P13" s="453"/>
      <c r="Q13" s="453"/>
      <c r="R13" s="453"/>
      <c r="S13" s="453"/>
    </row>
    <row r="14" spans="1:38" s="19" customFormat="1" x14ac:dyDescent="0.2">
      <c r="A14" s="275"/>
      <c r="B14" s="275"/>
      <c r="C14" s="625"/>
      <c r="D14" s="275"/>
      <c r="E14" s="611"/>
      <c r="F14" s="612"/>
      <c r="G14" s="298"/>
      <c r="H14" s="298"/>
      <c r="I14" s="513"/>
      <c r="J14" s="546"/>
      <c r="K14" s="547"/>
      <c r="L14" s="547"/>
      <c r="M14" s="548"/>
      <c r="N14" s="513"/>
      <c r="O14" s="453"/>
      <c r="P14" s="453"/>
      <c r="Q14" s="453"/>
      <c r="R14" s="453"/>
      <c r="S14" s="453"/>
    </row>
    <row r="15" spans="1:38" s="9" customFormat="1" x14ac:dyDescent="0.2">
      <c r="A15" s="6"/>
      <c r="B15" s="13"/>
      <c r="C15" s="13"/>
      <c r="D15" s="13"/>
      <c r="E15" s="7"/>
      <c r="F15" s="16"/>
      <c r="G15" s="11"/>
      <c r="H15" s="11"/>
      <c r="I15" s="11"/>
      <c r="J15" s="11"/>
      <c r="K15" s="10"/>
      <c r="L15" s="10"/>
      <c r="M15" s="11"/>
      <c r="N15" s="11"/>
      <c r="O15" s="437"/>
      <c r="P15" s="437"/>
      <c r="Q15" s="437"/>
      <c r="R15" s="437"/>
      <c r="S15" s="437"/>
    </row>
    <row r="16" spans="1:38" s="14" customFormat="1" ht="22.5" thickBot="1" x14ac:dyDescent="0.55000000000000004">
      <c r="A16" s="241">
        <f>+A14</f>
        <v>0</v>
      </c>
      <c r="B16" s="241"/>
      <c r="C16" s="241"/>
      <c r="D16" s="241"/>
      <c r="E16" s="242" t="s">
        <v>47</v>
      </c>
      <c r="F16" s="329">
        <f>SUM(F11:F15)</f>
        <v>0</v>
      </c>
      <c r="G16" s="243">
        <f>SUM(G11:G15)</f>
        <v>0</v>
      </c>
      <c r="H16" s="243">
        <f>SUM(H11:H15)</f>
        <v>0</v>
      </c>
      <c r="I16" s="243"/>
      <c r="J16" s="243">
        <f>SUM(J11:J15)</f>
        <v>0</v>
      </c>
      <c r="K16" s="243">
        <f>SUM(K11:K15)</f>
        <v>0</v>
      </c>
      <c r="L16" s="243">
        <f>SUM(L11:L15)</f>
        <v>0</v>
      </c>
      <c r="M16" s="243"/>
      <c r="N16" s="243"/>
      <c r="O16" s="450">
        <f>+F16+G16</f>
        <v>0</v>
      </c>
      <c r="P16" s="451"/>
      <c r="Q16" s="451"/>
      <c r="R16" s="452"/>
      <c r="S16" s="452"/>
    </row>
    <row r="17" spans="1:46" s="19" customFormat="1" ht="22.5" hidden="1" thickBot="1" x14ac:dyDescent="0.25">
      <c r="A17" s="17"/>
      <c r="B17" s="17"/>
      <c r="C17" s="17"/>
      <c r="D17" s="17"/>
      <c r="E17" s="30" t="s">
        <v>10</v>
      </c>
      <c r="F17" s="33"/>
      <c r="G17" s="34"/>
      <c r="H17" s="34"/>
      <c r="I17" s="34"/>
      <c r="J17" s="34"/>
      <c r="K17" s="18"/>
      <c r="L17" s="18"/>
      <c r="M17" s="34"/>
      <c r="N17" s="34"/>
      <c r="O17" s="453"/>
      <c r="P17" s="453"/>
      <c r="Q17" s="453"/>
      <c r="R17" s="453"/>
      <c r="S17" s="453"/>
    </row>
    <row r="18" spans="1:46" s="19" customFormat="1" ht="22.5" hidden="1" thickBot="1" x14ac:dyDescent="0.25">
      <c r="A18" s="17"/>
      <c r="B18" s="17"/>
      <c r="C18" s="17"/>
      <c r="D18" s="17"/>
      <c r="E18" s="30"/>
      <c r="F18" s="33"/>
      <c r="G18" s="34"/>
      <c r="H18" s="34"/>
      <c r="I18" s="34"/>
      <c r="J18" s="34"/>
      <c r="K18" s="18"/>
      <c r="L18" s="18"/>
      <c r="M18" s="34"/>
      <c r="N18" s="34"/>
      <c r="O18" s="453"/>
      <c r="P18" s="453"/>
      <c r="Q18" s="453"/>
      <c r="R18" s="453"/>
      <c r="S18" s="453"/>
    </row>
    <row r="19" spans="1:46" s="9" customFormat="1" ht="22.5" hidden="1" thickBot="1" x14ac:dyDescent="0.25">
      <c r="A19" s="6"/>
      <c r="B19" s="6"/>
      <c r="C19" s="6"/>
      <c r="D19" s="6"/>
      <c r="E19" s="7"/>
      <c r="F19" s="8"/>
      <c r="G19" s="11"/>
      <c r="H19" s="11"/>
      <c r="I19" s="11"/>
      <c r="J19" s="11"/>
      <c r="K19" s="10"/>
      <c r="L19" s="10"/>
      <c r="M19" s="11"/>
      <c r="N19" s="11"/>
      <c r="O19" s="437"/>
      <c r="P19" s="437"/>
      <c r="Q19" s="437"/>
      <c r="R19" s="437"/>
      <c r="S19" s="437"/>
    </row>
    <row r="20" spans="1:46" s="19" customFormat="1" ht="22.5" hidden="1" thickBot="1" x14ac:dyDescent="0.55000000000000004">
      <c r="A20" s="244"/>
      <c r="B20" s="244"/>
      <c r="C20" s="244"/>
      <c r="D20" s="244"/>
      <c r="E20" s="245" t="s">
        <v>33</v>
      </c>
      <c r="F20" s="330">
        <f>SUM(F18:F19)</f>
        <v>0</v>
      </c>
      <c r="G20" s="246">
        <f>SUM(G18:G19)</f>
        <v>0</v>
      </c>
      <c r="H20" s="246">
        <f>SUM(H18:H19)</f>
        <v>0</v>
      </c>
      <c r="I20" s="246"/>
      <c r="J20" s="246">
        <f>SUM(J18:J19)</f>
        <v>0</v>
      </c>
      <c r="K20" s="246">
        <f>SUM(K18:K19)</f>
        <v>0</v>
      </c>
      <c r="L20" s="246">
        <f>SUM(L18:L19)</f>
        <v>0</v>
      </c>
      <c r="M20" s="246"/>
      <c r="N20" s="246"/>
      <c r="O20" s="455">
        <f>+F20+G20</f>
        <v>0</v>
      </c>
      <c r="P20" s="451"/>
      <c r="Q20" s="451"/>
      <c r="R20" s="453"/>
      <c r="S20" s="453"/>
    </row>
    <row r="21" spans="1:46" s="28" customFormat="1" ht="22.5" thickBot="1" x14ac:dyDescent="0.55000000000000004">
      <c r="A21" s="247">
        <f>+A16+A20</f>
        <v>0</v>
      </c>
      <c r="B21" s="248"/>
      <c r="C21" s="248"/>
      <c r="D21" s="248"/>
      <c r="E21" s="248" t="s">
        <v>161</v>
      </c>
      <c r="F21" s="331">
        <f>F16+F20</f>
        <v>0</v>
      </c>
      <c r="G21" s="249">
        <f>+G16+G20</f>
        <v>0</v>
      </c>
      <c r="H21" s="249">
        <f>+H16+H20</f>
        <v>0</v>
      </c>
      <c r="I21" s="249"/>
      <c r="J21" s="249">
        <f>J16+J20</f>
        <v>0</v>
      </c>
      <c r="K21" s="249">
        <f>K16+K20</f>
        <v>0</v>
      </c>
      <c r="L21" s="249">
        <f>L16+L20</f>
        <v>0</v>
      </c>
      <c r="M21" s="249"/>
      <c r="N21" s="249"/>
      <c r="O21" s="436">
        <f>+O16+O20</f>
        <v>0</v>
      </c>
      <c r="P21" s="457"/>
      <c r="Q21" s="457"/>
      <c r="R21" s="434"/>
      <c r="S21" s="434"/>
      <c r="T21" s="2"/>
      <c r="U21" s="2"/>
      <c r="V21" s="2"/>
      <c r="W21" s="2"/>
      <c r="X21" s="2"/>
      <c r="Y21" s="2"/>
      <c r="Z21" s="2"/>
      <c r="AA21" s="2"/>
    </row>
    <row r="22" spans="1:46" s="9" customFormat="1" x14ac:dyDescent="0.2">
      <c r="A22" s="15"/>
      <c r="B22" s="15"/>
      <c r="C22" s="15"/>
      <c r="D22" s="15"/>
      <c r="E22" s="31"/>
      <c r="F22" s="21"/>
      <c r="G22" s="20"/>
      <c r="H22" s="20"/>
      <c r="I22" s="20"/>
      <c r="J22" s="20"/>
      <c r="K22" s="104"/>
      <c r="L22" s="104"/>
      <c r="M22" s="20"/>
      <c r="N22" s="20"/>
      <c r="O22" s="437"/>
      <c r="P22" s="437"/>
      <c r="Q22" s="437"/>
      <c r="R22" s="437"/>
      <c r="S22" s="437"/>
    </row>
    <row r="23" spans="1:46" s="9" customFormat="1" x14ac:dyDescent="0.5">
      <c r="A23" s="15"/>
      <c r="B23" s="15"/>
      <c r="C23" s="15"/>
      <c r="D23" s="15"/>
      <c r="E23" s="31"/>
      <c r="F23" s="35"/>
      <c r="G23" s="20"/>
      <c r="H23" s="20"/>
      <c r="I23" s="20"/>
      <c r="J23" s="20"/>
      <c r="K23" s="104"/>
      <c r="L23" s="104"/>
      <c r="M23" s="20"/>
      <c r="N23" s="20"/>
      <c r="O23" s="437"/>
      <c r="P23" s="437"/>
      <c r="Q23" s="437"/>
      <c r="R23" s="437"/>
      <c r="S23" s="437"/>
    </row>
    <row r="25" spans="1:46" s="23" customFormat="1" ht="22.5" thickBot="1" x14ac:dyDescent="0.55000000000000004">
      <c r="A25" s="22"/>
      <c r="B25" s="22"/>
      <c r="C25" s="22"/>
      <c r="D25" s="22"/>
      <c r="E25" s="81" t="s">
        <v>99</v>
      </c>
      <c r="F25" s="82"/>
      <c r="G25" s="238"/>
      <c r="H25" s="125"/>
      <c r="I25" s="125"/>
      <c r="J25" s="125"/>
      <c r="K25" s="190"/>
      <c r="L25" s="190"/>
      <c r="M25" s="125"/>
      <c r="N25" s="125"/>
      <c r="O25" s="434"/>
      <c r="P25" s="434"/>
      <c r="Q25" s="434"/>
      <c r="R25" s="434"/>
      <c r="S25" s="43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</row>
    <row r="26" spans="1:46" s="23" customFormat="1" ht="22.5" thickTop="1" x14ac:dyDescent="0.5">
      <c r="A26" s="22"/>
      <c r="B26" s="22"/>
      <c r="C26" s="22"/>
      <c r="D26" s="22"/>
      <c r="E26" s="23" t="s">
        <v>25</v>
      </c>
      <c r="F26" s="25"/>
      <c r="G26" s="107"/>
      <c r="H26" s="107"/>
      <c r="I26" s="107"/>
      <c r="J26" s="107"/>
      <c r="K26" s="190"/>
      <c r="L26" s="190"/>
      <c r="M26" s="107"/>
      <c r="N26" s="107"/>
      <c r="O26" s="434"/>
      <c r="P26" s="434"/>
      <c r="Q26" s="434"/>
      <c r="R26" s="434"/>
      <c r="S26" s="43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  <row r="27" spans="1:46" s="23" customFormat="1" x14ac:dyDescent="0.5">
      <c r="A27" s="22"/>
      <c r="B27" s="22"/>
      <c r="C27" s="22"/>
      <c r="D27" s="22"/>
      <c r="E27" s="23" t="s">
        <v>98</v>
      </c>
      <c r="F27" s="25"/>
      <c r="G27" s="107"/>
      <c r="H27" s="107"/>
      <c r="I27" s="107"/>
      <c r="J27" s="107"/>
      <c r="K27" s="190"/>
      <c r="L27" s="190"/>
      <c r="M27" s="107"/>
      <c r="N27" s="107"/>
      <c r="O27" s="434"/>
      <c r="P27" s="434"/>
      <c r="Q27" s="434"/>
      <c r="R27" s="434"/>
      <c r="S27" s="43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1:46" s="23" customFormat="1" x14ac:dyDescent="0.5">
      <c r="A28" s="22"/>
      <c r="B28" s="22"/>
      <c r="C28" s="22"/>
      <c r="D28" s="22"/>
      <c r="E28" s="23" t="s">
        <v>18</v>
      </c>
      <c r="F28" s="25"/>
      <c r="G28" s="107"/>
      <c r="H28" s="107"/>
      <c r="I28" s="107"/>
      <c r="J28" s="107"/>
      <c r="K28" s="190"/>
      <c r="L28" s="190"/>
      <c r="M28" s="107"/>
      <c r="N28" s="107"/>
      <c r="O28" s="434"/>
      <c r="P28" s="434"/>
      <c r="Q28" s="434"/>
      <c r="R28" s="434"/>
      <c r="S28" s="43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</row>
  </sheetData>
  <autoFilter ref="N1:N28"/>
  <mergeCells count="21">
    <mergeCell ref="A1:N1"/>
    <mergeCell ref="A2:N2"/>
    <mergeCell ref="A3:N3"/>
    <mergeCell ref="J5:J8"/>
    <mergeCell ref="B5:B8"/>
    <mergeCell ref="D5:D8"/>
    <mergeCell ref="E5:E8"/>
    <mergeCell ref="N5:N8"/>
    <mergeCell ref="A5:A8"/>
    <mergeCell ref="Q5:Q8"/>
    <mergeCell ref="F6:F8"/>
    <mergeCell ref="G6:G8"/>
    <mergeCell ref="C5:C8"/>
    <mergeCell ref="F4:G4"/>
    <mergeCell ref="P5:P8"/>
    <mergeCell ref="I5:I8"/>
    <mergeCell ref="F5:H5"/>
    <mergeCell ref="H6:H8"/>
    <mergeCell ref="M5:M8"/>
    <mergeCell ref="K5:K8"/>
    <mergeCell ref="L5:L8"/>
  </mergeCells>
  <pageMargins left="0.70866141732283472" right="0.70866141732283472" top="0.39370078740157483" bottom="0.19685039370078741" header="0.31496062992125984" footer="0.31496062992125984"/>
  <pageSetup paperSize="9" scale="90" orientation="landscape" blackAndWhite="1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31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7" width="15.42578125" style="106" customWidth="1"/>
    <col min="8" max="8" width="15.42578125" style="106" hidden="1" customWidth="1"/>
    <col min="9" max="9" width="30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0.140625" style="106" customWidth="1"/>
    <col min="15" max="15" width="4.7109375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20" width="9.140625" style="434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6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60"/>
      <c r="P2" s="435" t="s">
        <v>522</v>
      </c>
      <c r="Q2" s="434">
        <v>6</v>
      </c>
      <c r="R2" s="436" t="e">
        <f>SUM(#REF!)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60"/>
      <c r="P3" s="437" t="s">
        <v>523</v>
      </c>
      <c r="Q3" s="438">
        <v>1</v>
      </c>
      <c r="R3" s="439" t="e">
        <f>+#REF!</f>
        <v>#REF!</v>
      </c>
      <c r="S3" s="440" t="s">
        <v>209</v>
      </c>
      <c r="T3" s="439" t="s">
        <v>209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1"/>
      <c r="G4" s="781"/>
      <c r="H4" s="3"/>
      <c r="I4" s="3"/>
      <c r="J4" s="5"/>
      <c r="M4" s="3"/>
      <c r="N4" s="506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ht="21.75" customHeight="1" x14ac:dyDescent="0.5">
      <c r="A9" s="12"/>
      <c r="B9" s="12"/>
      <c r="C9" s="12"/>
      <c r="D9" s="12"/>
      <c r="E9" s="32" t="s">
        <v>31</v>
      </c>
      <c r="F9" s="12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65.25" x14ac:dyDescent="0.2">
      <c r="A11" s="275">
        <v>1</v>
      </c>
      <c r="B11" s="275"/>
      <c r="C11" s="625" t="s">
        <v>293</v>
      </c>
      <c r="D11" s="275" t="s">
        <v>31</v>
      </c>
      <c r="E11" s="611" t="s">
        <v>469</v>
      </c>
      <c r="F11" s="612">
        <v>510000</v>
      </c>
      <c r="G11" s="298"/>
      <c r="H11" s="298"/>
      <c r="I11" s="548" t="s">
        <v>792</v>
      </c>
      <c r="J11" s="548"/>
      <c r="K11" s="548"/>
      <c r="L11" s="548"/>
      <c r="M11" s="548" t="s">
        <v>792</v>
      </c>
      <c r="N11" s="548"/>
      <c r="O11" s="464">
        <v>1</v>
      </c>
      <c r="P11" s="453"/>
      <c r="Q11" s="453"/>
      <c r="R11" s="453"/>
      <c r="S11" s="453"/>
      <c r="T11" s="453"/>
    </row>
    <row r="12" spans="1:39" s="19" customFormat="1" ht="87" x14ac:dyDescent="0.2">
      <c r="A12" s="275">
        <v>2</v>
      </c>
      <c r="B12" s="275"/>
      <c r="C12" s="625" t="s">
        <v>293</v>
      </c>
      <c r="D12" s="275" t="s">
        <v>31</v>
      </c>
      <c r="E12" s="611" t="s">
        <v>471</v>
      </c>
      <c r="F12" s="612">
        <v>80000</v>
      </c>
      <c r="G12" s="298"/>
      <c r="H12" s="298"/>
      <c r="I12" s="548" t="s">
        <v>793</v>
      </c>
      <c r="J12" s="548"/>
      <c r="K12" s="548"/>
      <c r="L12" s="548"/>
      <c r="M12" s="548" t="s">
        <v>794</v>
      </c>
      <c r="N12" s="548"/>
      <c r="O12" s="464">
        <v>1</v>
      </c>
      <c r="P12" s="453"/>
      <c r="Q12" s="453"/>
      <c r="R12" s="453"/>
      <c r="S12" s="453"/>
      <c r="T12" s="453"/>
    </row>
    <row r="13" spans="1:39" s="19" customFormat="1" ht="87" x14ac:dyDescent="0.2">
      <c r="A13" s="275">
        <v>3</v>
      </c>
      <c r="B13" s="275"/>
      <c r="C13" s="625" t="s">
        <v>293</v>
      </c>
      <c r="D13" s="275" t="s">
        <v>31</v>
      </c>
      <c r="E13" s="611" t="s">
        <v>472</v>
      </c>
      <c r="F13" s="612">
        <v>46000</v>
      </c>
      <c r="G13" s="298"/>
      <c r="H13" s="298"/>
      <c r="I13" s="548" t="s">
        <v>795</v>
      </c>
      <c r="J13" s="548"/>
      <c r="K13" s="548"/>
      <c r="L13" s="548"/>
      <c r="M13" s="548" t="s">
        <v>794</v>
      </c>
      <c r="N13" s="548"/>
      <c r="O13" s="464">
        <v>1</v>
      </c>
      <c r="P13" s="453"/>
      <c r="Q13" s="453"/>
      <c r="R13" s="453"/>
      <c r="S13" s="453"/>
      <c r="T13" s="453"/>
    </row>
    <row r="14" spans="1:39" s="19" customFormat="1" ht="65.25" x14ac:dyDescent="0.2">
      <c r="A14" s="275">
        <v>4</v>
      </c>
      <c r="B14" s="275"/>
      <c r="C14" s="625" t="s">
        <v>293</v>
      </c>
      <c r="D14" s="275" t="s">
        <v>31</v>
      </c>
      <c r="E14" s="611" t="s">
        <v>473</v>
      </c>
      <c r="F14" s="612">
        <v>34000</v>
      </c>
      <c r="G14" s="298"/>
      <c r="H14" s="298"/>
      <c r="I14" s="548" t="s">
        <v>793</v>
      </c>
      <c r="J14" s="548"/>
      <c r="K14" s="548"/>
      <c r="L14" s="548"/>
      <c r="M14" s="548" t="s">
        <v>794</v>
      </c>
      <c r="N14" s="548"/>
      <c r="O14" s="464">
        <v>1</v>
      </c>
      <c r="P14" s="453"/>
      <c r="Q14" s="453"/>
      <c r="R14" s="453"/>
      <c r="S14" s="453"/>
      <c r="T14" s="453"/>
    </row>
    <row r="15" spans="1:39" s="19" customFormat="1" ht="65.25" x14ac:dyDescent="0.2">
      <c r="A15" s="275">
        <v>5</v>
      </c>
      <c r="B15" s="275"/>
      <c r="C15" s="625" t="s">
        <v>293</v>
      </c>
      <c r="D15" s="275" t="s">
        <v>31</v>
      </c>
      <c r="E15" s="611" t="s">
        <v>470</v>
      </c>
      <c r="F15" s="612">
        <v>20000</v>
      </c>
      <c r="G15" s="298"/>
      <c r="H15" s="298"/>
      <c r="I15" s="548" t="s">
        <v>793</v>
      </c>
      <c r="J15" s="548"/>
      <c r="K15" s="548"/>
      <c r="L15" s="548"/>
      <c r="M15" s="548" t="s">
        <v>794</v>
      </c>
      <c r="N15" s="548"/>
      <c r="O15" s="464">
        <v>1</v>
      </c>
      <c r="P15" s="453"/>
      <c r="Q15" s="453"/>
      <c r="R15" s="453"/>
      <c r="S15" s="453"/>
      <c r="T15" s="453"/>
    </row>
    <row r="16" spans="1:39" s="19" customFormat="1" ht="65.25" x14ac:dyDescent="0.2">
      <c r="A16" s="275">
        <v>6</v>
      </c>
      <c r="B16" s="275"/>
      <c r="C16" s="625" t="s">
        <v>293</v>
      </c>
      <c r="D16" s="275" t="s">
        <v>31</v>
      </c>
      <c r="E16" s="611" t="s">
        <v>474</v>
      </c>
      <c r="F16" s="612">
        <v>38000</v>
      </c>
      <c r="G16" s="298"/>
      <c r="H16" s="298"/>
      <c r="I16" s="548" t="s">
        <v>793</v>
      </c>
      <c r="J16" s="548"/>
      <c r="K16" s="548"/>
      <c r="L16" s="548"/>
      <c r="M16" s="548" t="s">
        <v>794</v>
      </c>
      <c r="N16" s="548"/>
      <c r="O16" s="464">
        <v>1</v>
      </c>
      <c r="P16" s="453"/>
      <c r="Q16" s="453"/>
      <c r="R16" s="453"/>
      <c r="S16" s="453"/>
      <c r="T16" s="453"/>
    </row>
    <row r="17" spans="1:47" s="19" customFormat="1" ht="65.25" x14ac:dyDescent="0.2">
      <c r="A17" s="486">
        <v>7</v>
      </c>
      <c r="B17" s="486"/>
      <c r="C17" s="631" t="s">
        <v>360</v>
      </c>
      <c r="D17" s="486" t="s">
        <v>31</v>
      </c>
      <c r="E17" s="630" t="s">
        <v>475</v>
      </c>
      <c r="F17" s="602">
        <v>3014700</v>
      </c>
      <c r="G17" s="488"/>
      <c r="H17" s="488"/>
      <c r="I17" s="554" t="s">
        <v>796</v>
      </c>
      <c r="J17" s="548"/>
      <c r="K17" s="548"/>
      <c r="L17" s="548"/>
      <c r="M17" s="554" t="s">
        <v>796</v>
      </c>
      <c r="N17" s="554"/>
      <c r="O17" s="464">
        <v>2</v>
      </c>
      <c r="P17" s="453"/>
      <c r="Q17" s="453"/>
      <c r="R17" s="453"/>
      <c r="S17" s="453"/>
      <c r="T17" s="453"/>
    </row>
    <row r="18" spans="1:47" s="9" customFormat="1" x14ac:dyDescent="0.2">
      <c r="A18" s="6"/>
      <c r="B18" s="13"/>
      <c r="C18" s="13"/>
      <c r="D18" s="13"/>
      <c r="E18" s="7"/>
      <c r="F18" s="334"/>
      <c r="G18" s="29"/>
      <c r="H18" s="29"/>
      <c r="I18" s="29"/>
      <c r="J18" s="11"/>
      <c r="K18" s="10"/>
      <c r="L18" s="10"/>
      <c r="M18" s="29"/>
      <c r="N18" s="29"/>
      <c r="O18" s="445"/>
      <c r="P18" s="437"/>
      <c r="Q18" s="437"/>
      <c r="R18" s="437"/>
      <c r="S18" s="437"/>
      <c r="T18" s="437"/>
    </row>
    <row r="19" spans="1:47" s="14" customFormat="1" ht="21.75" customHeight="1" thickBot="1" x14ac:dyDescent="0.55000000000000004">
      <c r="A19" s="241">
        <f>+A17</f>
        <v>7</v>
      </c>
      <c r="B19" s="241"/>
      <c r="C19" s="241"/>
      <c r="D19" s="241"/>
      <c r="E19" s="242" t="s">
        <v>47</v>
      </c>
      <c r="F19" s="329">
        <f>SUM(F11:F18)</f>
        <v>3742700</v>
      </c>
      <c r="G19" s="243">
        <f>SUM(G18:G18)</f>
        <v>0</v>
      </c>
      <c r="H19" s="243">
        <f>SUM(H18:H18)</f>
        <v>0</v>
      </c>
      <c r="I19" s="243"/>
      <c r="J19" s="243">
        <f>SUM(J18:J18)</f>
        <v>0</v>
      </c>
      <c r="K19" s="243">
        <f>SUM(K18:K18)</f>
        <v>0</v>
      </c>
      <c r="L19" s="243">
        <f>SUM(L18:L18)</f>
        <v>0</v>
      </c>
      <c r="M19" s="243"/>
      <c r="N19" s="243"/>
      <c r="O19" s="463"/>
      <c r="P19" s="450">
        <f>+F19+G19</f>
        <v>3742700</v>
      </c>
      <c r="Q19" s="451"/>
      <c r="R19" s="451"/>
      <c r="S19" s="452"/>
      <c r="T19" s="452"/>
    </row>
    <row r="20" spans="1:47" s="19" customFormat="1" ht="22.5" hidden="1" thickBot="1" x14ac:dyDescent="0.25">
      <c r="A20" s="17"/>
      <c r="B20" s="17"/>
      <c r="C20" s="17"/>
      <c r="D20" s="17"/>
      <c r="E20" s="30" t="s">
        <v>10</v>
      </c>
      <c r="F20" s="336"/>
      <c r="G20" s="33"/>
      <c r="H20" s="33"/>
      <c r="I20" s="33"/>
      <c r="J20" s="34"/>
      <c r="K20" s="18"/>
      <c r="L20" s="18"/>
      <c r="M20" s="33"/>
      <c r="N20" s="33"/>
      <c r="O20" s="464"/>
      <c r="P20" s="453"/>
      <c r="Q20" s="453"/>
      <c r="R20" s="453"/>
      <c r="S20" s="453"/>
      <c r="T20" s="453"/>
    </row>
    <row r="21" spans="1:47" s="19" customFormat="1" ht="22.5" hidden="1" thickBot="1" x14ac:dyDescent="0.25">
      <c r="A21" s="17"/>
      <c r="B21" s="17"/>
      <c r="C21" s="17"/>
      <c r="D21" s="17"/>
      <c r="E21" s="30"/>
      <c r="F21" s="336"/>
      <c r="G21" s="33"/>
      <c r="H21" s="33"/>
      <c r="I21" s="33"/>
      <c r="J21" s="34"/>
      <c r="K21" s="18"/>
      <c r="L21" s="18"/>
      <c r="M21" s="33"/>
      <c r="N21" s="33"/>
      <c r="O21" s="464"/>
      <c r="P21" s="453"/>
      <c r="Q21" s="453"/>
      <c r="R21" s="453"/>
      <c r="S21" s="453"/>
      <c r="T21" s="453"/>
    </row>
    <row r="22" spans="1:47" s="9" customFormat="1" ht="22.5" hidden="1" thickBot="1" x14ac:dyDescent="0.25">
      <c r="A22" s="6"/>
      <c r="B22" s="6"/>
      <c r="C22" s="6"/>
      <c r="D22" s="6"/>
      <c r="E22" s="7"/>
      <c r="F22" s="335"/>
      <c r="G22" s="29"/>
      <c r="H22" s="29"/>
      <c r="I22" s="29"/>
      <c r="J22" s="11"/>
      <c r="K22" s="10"/>
      <c r="L22" s="10"/>
      <c r="M22" s="29"/>
      <c r="N22" s="29"/>
      <c r="O22" s="445"/>
      <c r="P22" s="437"/>
      <c r="Q22" s="437"/>
      <c r="R22" s="437"/>
      <c r="S22" s="437"/>
      <c r="T22" s="437"/>
    </row>
    <row r="23" spans="1:47" s="19" customFormat="1" ht="22.5" hidden="1" customHeight="1" thickBot="1" x14ac:dyDescent="0.55000000000000004">
      <c r="A23" s="244"/>
      <c r="B23" s="244"/>
      <c r="C23" s="244"/>
      <c r="D23" s="244"/>
      <c r="E23" s="245" t="s">
        <v>33</v>
      </c>
      <c r="F23" s="330">
        <f>SUM(F22:F22)</f>
        <v>0</v>
      </c>
      <c r="G23" s="246">
        <f>SUM(G22:G22)</f>
        <v>0</v>
      </c>
      <c r="H23" s="246">
        <f>SUM(H22:H22)</f>
        <v>0</v>
      </c>
      <c r="I23" s="246"/>
      <c r="J23" s="246">
        <f>SUM(J22:J22)</f>
        <v>0</v>
      </c>
      <c r="K23" s="246">
        <f>SUM(K22:K22)</f>
        <v>0</v>
      </c>
      <c r="L23" s="246">
        <f>SUM(L22:L22)</f>
        <v>0</v>
      </c>
      <c r="M23" s="246"/>
      <c r="N23" s="246"/>
      <c r="O23" s="462"/>
      <c r="P23" s="455">
        <f>+F23+G23</f>
        <v>0</v>
      </c>
      <c r="Q23" s="451"/>
      <c r="R23" s="451"/>
      <c r="S23" s="453"/>
      <c r="T23" s="453"/>
    </row>
    <row r="24" spans="1:47" s="28" customFormat="1" ht="22.5" thickBot="1" x14ac:dyDescent="0.55000000000000004">
      <c r="A24" s="247">
        <f>+A19+A23</f>
        <v>7</v>
      </c>
      <c r="B24" s="248"/>
      <c r="C24" s="248"/>
      <c r="D24" s="248"/>
      <c r="E24" s="248" t="s">
        <v>162</v>
      </c>
      <c r="F24" s="331">
        <f>F19+F23</f>
        <v>3742700</v>
      </c>
      <c r="G24" s="310">
        <f>+G19+G23</f>
        <v>0</v>
      </c>
      <c r="H24" s="310">
        <f>+H19+H23</f>
        <v>0</v>
      </c>
      <c r="I24" s="310"/>
      <c r="J24" s="249">
        <f>J19+J23</f>
        <v>0</v>
      </c>
      <c r="K24" s="249">
        <f>K19+K23</f>
        <v>0</v>
      </c>
      <c r="L24" s="249">
        <f>L19+L23</f>
        <v>0</v>
      </c>
      <c r="M24" s="310"/>
      <c r="N24" s="310"/>
      <c r="O24" s="465"/>
      <c r="P24" s="436">
        <f>+P19+P23</f>
        <v>3742700</v>
      </c>
      <c r="Q24" s="457"/>
      <c r="R24" s="457"/>
      <c r="S24" s="434"/>
      <c r="T24" s="434"/>
      <c r="U24" s="2"/>
      <c r="V24" s="2"/>
      <c r="W24" s="2"/>
      <c r="X24" s="2"/>
      <c r="Y24" s="2"/>
      <c r="Z24" s="2"/>
      <c r="AA24" s="2"/>
      <c r="AB24" s="2"/>
    </row>
    <row r="25" spans="1:47" s="9" customFormat="1" x14ac:dyDescent="0.2">
      <c r="A25" s="15"/>
      <c r="B25" s="15"/>
      <c r="C25" s="15"/>
      <c r="D25" s="15"/>
      <c r="E25" s="31"/>
      <c r="F25" s="21"/>
      <c r="G25" s="20"/>
      <c r="H25" s="20"/>
      <c r="I25" s="20"/>
      <c r="J25" s="20"/>
      <c r="K25" s="104"/>
      <c r="L25" s="104"/>
      <c r="M25" s="20"/>
      <c r="N25" s="20"/>
      <c r="O25" s="445"/>
      <c r="P25" s="437"/>
      <c r="Q25" s="437"/>
      <c r="R25" s="437"/>
      <c r="S25" s="437"/>
      <c r="T25" s="437"/>
    </row>
    <row r="26" spans="1:47" s="9" customFormat="1" x14ac:dyDescent="0.5">
      <c r="A26" s="15"/>
      <c r="B26" s="15"/>
      <c r="C26" s="15"/>
      <c r="D26" s="15"/>
      <c r="E26" s="31"/>
      <c r="F26" s="35"/>
      <c r="G26" s="20"/>
      <c r="H26" s="20"/>
      <c r="I26" s="20"/>
      <c r="J26" s="20"/>
      <c r="K26" s="104"/>
      <c r="L26" s="104"/>
      <c r="M26" s="20"/>
      <c r="N26" s="20"/>
      <c r="O26" s="445"/>
      <c r="P26" s="437"/>
      <c r="Q26" s="437"/>
      <c r="R26" s="437"/>
      <c r="S26" s="437"/>
      <c r="T26" s="437"/>
    </row>
    <row r="28" spans="1:47" s="23" customFormat="1" ht="22.5" thickBot="1" x14ac:dyDescent="0.55000000000000004">
      <c r="A28" s="22"/>
      <c r="B28" s="22"/>
      <c r="C28" s="22"/>
      <c r="D28" s="22"/>
      <c r="E28" s="81" t="s">
        <v>99</v>
      </c>
      <c r="F28" s="82"/>
      <c r="G28" s="238"/>
      <c r="H28" s="125"/>
      <c r="I28" s="125"/>
      <c r="J28" s="125"/>
      <c r="K28" s="190"/>
      <c r="L28" s="190"/>
      <c r="M28" s="125"/>
      <c r="N28" s="125"/>
      <c r="O28" s="441"/>
      <c r="P28" s="434"/>
      <c r="Q28" s="434"/>
      <c r="R28" s="434"/>
      <c r="S28" s="434"/>
      <c r="T28" s="43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</row>
    <row r="29" spans="1:47" s="23" customFormat="1" ht="22.5" thickTop="1" x14ac:dyDescent="0.5">
      <c r="A29" s="22"/>
      <c r="B29" s="22"/>
      <c r="C29" s="22"/>
      <c r="D29" s="22"/>
      <c r="E29" s="23" t="s">
        <v>25</v>
      </c>
      <c r="F29" s="25"/>
      <c r="G29" s="107"/>
      <c r="H29" s="107"/>
      <c r="I29" s="107"/>
      <c r="J29" s="107"/>
      <c r="K29" s="190"/>
      <c r="L29" s="190"/>
      <c r="M29" s="107"/>
      <c r="N29" s="107"/>
      <c r="O29" s="441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  <row r="30" spans="1:47" s="23" customFormat="1" x14ac:dyDescent="0.5">
      <c r="A30" s="22"/>
      <c r="B30" s="22"/>
      <c r="C30" s="22"/>
      <c r="D30" s="22"/>
      <c r="E30" s="23" t="s">
        <v>98</v>
      </c>
      <c r="F30" s="25"/>
      <c r="G30" s="107"/>
      <c r="H30" s="107"/>
      <c r="I30" s="107"/>
      <c r="J30" s="107"/>
      <c r="K30" s="190"/>
      <c r="L30" s="190"/>
      <c r="M30" s="107"/>
      <c r="N30" s="107"/>
      <c r="O30" s="441"/>
      <c r="P30" s="434"/>
      <c r="Q30" s="434"/>
      <c r="R30" s="434"/>
      <c r="S30" s="434"/>
      <c r="T30" s="43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</row>
    <row r="31" spans="1:47" s="23" customFormat="1" ht="21.75" customHeight="1" x14ac:dyDescent="0.5">
      <c r="A31" s="22"/>
      <c r="B31" s="22"/>
      <c r="C31" s="22"/>
      <c r="D31" s="22"/>
      <c r="E31" s="23" t="s">
        <v>18</v>
      </c>
      <c r="F31" s="25"/>
      <c r="G31" s="107"/>
      <c r="H31" s="107"/>
      <c r="I31" s="107"/>
      <c r="J31" s="107"/>
      <c r="K31" s="190"/>
      <c r="L31" s="190"/>
      <c r="M31" s="107"/>
      <c r="N31" s="107"/>
      <c r="O31" s="441"/>
      <c r="P31" s="434"/>
      <c r="Q31" s="434"/>
      <c r="R31" s="434"/>
      <c r="S31" s="434"/>
      <c r="T31" s="43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</row>
  </sheetData>
  <autoFilter ref="O1:O31"/>
  <mergeCells count="21">
    <mergeCell ref="A1:N1"/>
    <mergeCell ref="A2:N2"/>
    <mergeCell ref="A3:N3"/>
    <mergeCell ref="D5:D8"/>
    <mergeCell ref="I5:I8"/>
    <mergeCell ref="F5:H5"/>
    <mergeCell ref="H6:H8"/>
    <mergeCell ref="N5:N8"/>
    <mergeCell ref="M5:M8"/>
    <mergeCell ref="A5:A8"/>
    <mergeCell ref="B5:B8"/>
    <mergeCell ref="R5:R8"/>
    <mergeCell ref="F4:G4"/>
    <mergeCell ref="F6:F8"/>
    <mergeCell ref="G6:G8"/>
    <mergeCell ref="C5:C8"/>
    <mergeCell ref="Q5:Q8"/>
    <mergeCell ref="K5:K8"/>
    <mergeCell ref="L5:L8"/>
    <mergeCell ref="J5:J8"/>
    <mergeCell ref="E5:E8"/>
  </mergeCells>
  <phoneticPr fontId="5" type="noConversion"/>
  <conditionalFormatting sqref="F11:F17">
    <cfRule type="cellIs" dxfId="2" priority="1" stopIfTrue="1" operator="between">
      <formula>2000001</formula>
      <formula>500000000</formula>
    </cfRule>
  </conditionalFormatting>
  <pageMargins left="0.74803149606299213" right="0.74803149606299213" top="0.59055118110236227" bottom="0.39370078740157483" header="0.31496062992125984" footer="0.31496062992125984"/>
  <pageSetup paperSize="9" scale="90" orientation="landscape" blackAndWhite="1" r:id="rId1"/>
  <rowBreaks count="1" manualBreakCount="1">
    <brk id="26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"/>
  <sheetViews>
    <sheetView zoomScaleNormal="100" workbookViewId="0">
      <selection activeCell="N4" sqref="N4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4.5703125" style="4" customWidth="1"/>
    <col min="7" max="8" width="14.7109375" style="106" customWidth="1"/>
    <col min="9" max="9" width="40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14.28515625" style="156" customWidth="1"/>
    <col min="14" max="14" width="9.140625" style="2" customWidth="1"/>
    <col min="15" max="15" width="13.5703125" style="2" customWidth="1"/>
    <col min="16" max="26" width="9.140625" style="2"/>
    <col min="27" max="16384" width="9.140625" style="1"/>
  </cols>
  <sheetData>
    <row r="1" spans="1:37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2"/>
      <c r="O1" s="2" t="s">
        <v>524</v>
      </c>
      <c r="Q1" s="2" t="s">
        <v>202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347" t="s">
        <v>522</v>
      </c>
      <c r="N2" s="2" t="s">
        <v>209</v>
      </c>
      <c r="O2" s="146">
        <f>SUM(E11:E16)</f>
        <v>0</v>
      </c>
      <c r="P2" s="146" t="s">
        <v>209</v>
      </c>
      <c r="Q2" s="2" t="s">
        <v>209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5">
      <c r="A3" s="775" t="s">
        <v>149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9" t="s">
        <v>523</v>
      </c>
      <c r="N3" s="1" t="s">
        <v>209</v>
      </c>
      <c r="O3" s="430" t="s">
        <v>209</v>
      </c>
      <c r="P3" s="431" t="s">
        <v>209</v>
      </c>
      <c r="Q3" s="430" t="s">
        <v>209</v>
      </c>
      <c r="R3" s="1"/>
      <c r="S3" s="1"/>
      <c r="T3" s="1"/>
      <c r="U3" s="1"/>
      <c r="V3" s="1"/>
      <c r="W3" s="1"/>
      <c r="X3" s="1"/>
      <c r="Y3" s="1"/>
      <c r="Z3" s="1"/>
    </row>
    <row r="4" spans="1:37" ht="20.25" customHeight="1" x14ac:dyDescent="0.5">
      <c r="A4" s="1"/>
      <c r="B4" s="1"/>
      <c r="C4" s="1"/>
      <c r="D4" s="1"/>
      <c r="F4" s="781"/>
      <c r="G4" s="781"/>
      <c r="H4" s="3"/>
      <c r="I4" s="3"/>
      <c r="J4" s="5"/>
      <c r="M4" s="2" t="s">
        <v>536</v>
      </c>
      <c r="N4" s="239" t="s">
        <v>209</v>
      </c>
      <c r="O4" s="239" t="s">
        <v>209</v>
      </c>
      <c r="P4" s="2" t="s">
        <v>209</v>
      </c>
      <c r="Q4" s="2" t="s">
        <v>209</v>
      </c>
    </row>
    <row r="5" spans="1:37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211</v>
      </c>
      <c r="J5" s="767" t="s">
        <v>122</v>
      </c>
      <c r="K5" s="767" t="s">
        <v>121</v>
      </c>
      <c r="L5" s="776" t="s">
        <v>123</v>
      </c>
      <c r="M5" s="423"/>
      <c r="O5" s="766" t="s">
        <v>142</v>
      </c>
      <c r="P5" s="766" t="s">
        <v>150</v>
      </c>
    </row>
    <row r="6" spans="1:37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423"/>
      <c r="O6" s="766"/>
      <c r="P6" s="766"/>
    </row>
    <row r="7" spans="1:37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423"/>
      <c r="O7" s="766"/>
      <c r="P7" s="766"/>
    </row>
    <row r="8" spans="1:37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423"/>
      <c r="O8" s="766"/>
      <c r="P8" s="766"/>
    </row>
    <row r="9" spans="1:37" x14ac:dyDescent="0.5">
      <c r="A9" s="12"/>
      <c r="B9" s="12"/>
      <c r="C9" s="12"/>
      <c r="D9" s="12"/>
      <c r="E9" s="32" t="s">
        <v>152</v>
      </c>
      <c r="F9" s="12"/>
      <c r="G9" s="105"/>
      <c r="H9" s="105"/>
      <c r="I9" s="105"/>
      <c r="J9" s="105"/>
      <c r="K9" s="189"/>
      <c r="L9" s="189"/>
    </row>
    <row r="10" spans="1:37" s="9" customFormat="1" x14ac:dyDescent="0.2">
      <c r="A10" s="6"/>
      <c r="B10" s="6"/>
      <c r="C10" s="6"/>
      <c r="D10" s="6"/>
      <c r="E10" s="17" t="s">
        <v>37</v>
      </c>
      <c r="F10" s="29"/>
      <c r="G10" s="11"/>
      <c r="H10" s="11"/>
      <c r="I10" s="11"/>
      <c r="J10" s="11"/>
      <c r="K10" s="10"/>
      <c r="L10" s="10"/>
      <c r="M10" s="104"/>
    </row>
    <row r="11" spans="1:37" s="9" customFormat="1" x14ac:dyDescent="0.2">
      <c r="A11" s="6"/>
      <c r="B11" s="6"/>
      <c r="C11" s="6"/>
      <c r="D11" s="6"/>
      <c r="E11" s="332"/>
      <c r="F11" s="333"/>
      <c r="G11" s="11"/>
      <c r="H11" s="11"/>
      <c r="I11" s="360"/>
      <c r="J11" s="11"/>
      <c r="K11" s="10"/>
      <c r="L11" s="10"/>
      <c r="M11" s="104"/>
    </row>
    <row r="12" spans="1:37" s="9" customFormat="1" x14ac:dyDescent="0.2">
      <c r="A12" s="6"/>
      <c r="B12" s="13"/>
      <c r="C12" s="13"/>
      <c r="D12" s="13"/>
      <c r="E12" s="7"/>
      <c r="F12" s="334"/>
      <c r="G12" s="11"/>
      <c r="H12" s="11"/>
      <c r="I12" s="11"/>
      <c r="J12" s="11"/>
      <c r="K12" s="10"/>
      <c r="L12" s="10"/>
      <c r="M12" s="104"/>
    </row>
    <row r="13" spans="1:37" s="14" customForma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43">
        <f>SUM(G11:G12)</f>
        <v>0</v>
      </c>
      <c r="H13" s="243">
        <f>SUM(H11:H12)</f>
        <v>0</v>
      </c>
      <c r="I13" s="243"/>
      <c r="J13" s="243">
        <f>SUM(J11:J12)</f>
        <v>0</v>
      </c>
      <c r="K13" s="243">
        <f>SUM(K11:K12)</f>
        <v>0</v>
      </c>
      <c r="L13" s="243">
        <f>SUM(L11:L12)</f>
        <v>0</v>
      </c>
      <c r="M13" s="427"/>
      <c r="N13" s="144">
        <f>+F13+G13</f>
        <v>0</v>
      </c>
      <c r="O13" s="240"/>
      <c r="P13" s="240"/>
    </row>
    <row r="14" spans="1:37" s="19" customFormat="1" x14ac:dyDescent="0.2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424"/>
    </row>
    <row r="15" spans="1:37" s="19" customFormat="1" x14ac:dyDescent="0.2">
      <c r="A15" s="17"/>
      <c r="B15" s="17"/>
      <c r="C15" s="17"/>
      <c r="D15" s="17"/>
      <c r="E15" s="30"/>
      <c r="F15" s="336"/>
      <c r="G15" s="34"/>
      <c r="H15" s="34"/>
      <c r="I15" s="34"/>
      <c r="J15" s="34"/>
      <c r="K15" s="18"/>
      <c r="L15" s="18"/>
      <c r="M15" s="424"/>
    </row>
    <row r="16" spans="1:37" s="9" customFormat="1" x14ac:dyDescent="0.2">
      <c r="A16" s="6"/>
      <c r="B16" s="6"/>
      <c r="C16" s="6"/>
      <c r="D16" s="6"/>
      <c r="E16" s="7"/>
      <c r="F16" s="335"/>
      <c r="G16" s="11"/>
      <c r="H16" s="11"/>
      <c r="I16" s="11"/>
      <c r="J16" s="11"/>
      <c r="K16" s="10"/>
      <c r="L16" s="10"/>
      <c r="M16" s="104"/>
    </row>
    <row r="17" spans="1:45" s="19" customFormat="1" ht="22.5" thickBot="1" x14ac:dyDescent="0.55000000000000004">
      <c r="A17" s="244"/>
      <c r="B17" s="244"/>
      <c r="C17" s="244"/>
      <c r="D17" s="244"/>
      <c r="E17" s="245" t="s">
        <v>33</v>
      </c>
      <c r="F17" s="330">
        <f>SUM(F15:F16)</f>
        <v>0</v>
      </c>
      <c r="G17" s="246">
        <f>SUM(G15:G16)</f>
        <v>0</v>
      </c>
      <c r="H17" s="246">
        <f>SUM(H15:H16)</f>
        <v>0</v>
      </c>
      <c r="I17" s="246"/>
      <c r="J17" s="246">
        <f>SUM(J15:J16)</f>
        <v>0</v>
      </c>
      <c r="K17" s="246">
        <f>SUM(K15:K16)</f>
        <v>0</v>
      </c>
      <c r="L17" s="246">
        <f>SUM(L15:L16)</f>
        <v>0</v>
      </c>
      <c r="M17" s="428"/>
      <c r="N17" s="145">
        <f>+F17+G17</f>
        <v>0</v>
      </c>
      <c r="O17" s="240"/>
      <c r="P17" s="240"/>
    </row>
    <row r="18" spans="1:45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163</v>
      </c>
      <c r="F18" s="331">
        <f>F13+F17</f>
        <v>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426"/>
      <c r="N18" s="146">
        <f>+N13+N17</f>
        <v>0</v>
      </c>
      <c r="O18" s="250"/>
      <c r="P18" s="25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45" s="9" customFormat="1" x14ac:dyDescent="0.2">
      <c r="A19" s="15"/>
      <c r="B19" s="15"/>
      <c r="C19" s="15"/>
      <c r="D19" s="15"/>
      <c r="E19" s="31"/>
      <c r="F19" s="21"/>
      <c r="G19" s="20"/>
      <c r="H19" s="20"/>
      <c r="I19" s="20"/>
      <c r="J19" s="20"/>
      <c r="K19" s="104"/>
      <c r="L19" s="104"/>
      <c r="M19" s="104"/>
    </row>
    <row r="20" spans="1:45" s="9" customFormat="1" x14ac:dyDescent="0.2">
      <c r="A20" s="15"/>
      <c r="B20" s="15"/>
      <c r="C20" s="15"/>
      <c r="D20" s="15"/>
      <c r="E20" s="31"/>
      <c r="F20" s="21"/>
      <c r="G20" s="20"/>
      <c r="H20" s="20"/>
      <c r="I20" s="20"/>
      <c r="J20" s="20"/>
      <c r="K20" s="104"/>
      <c r="L20" s="104"/>
      <c r="M20" s="104"/>
    </row>
    <row r="21" spans="1:45" s="9" customFormat="1" x14ac:dyDescent="0.2">
      <c r="A21" s="15"/>
      <c r="B21" s="15"/>
      <c r="C21" s="15"/>
      <c r="D21" s="15"/>
      <c r="E21" s="31"/>
      <c r="F21" s="21"/>
      <c r="G21" s="20"/>
      <c r="H21" s="20"/>
      <c r="I21" s="20"/>
      <c r="J21" s="20"/>
      <c r="K21" s="104"/>
      <c r="L21" s="104"/>
      <c r="M21" s="104"/>
    </row>
    <row r="22" spans="1:45" s="9" customFormat="1" x14ac:dyDescent="0.5">
      <c r="A22" s="15"/>
      <c r="B22" s="15"/>
      <c r="C22" s="15"/>
      <c r="D22" s="15"/>
      <c r="E22" s="31"/>
      <c r="F22" s="35"/>
      <c r="G22" s="20"/>
      <c r="H22" s="20"/>
      <c r="I22" s="20"/>
      <c r="J22" s="20"/>
      <c r="K22" s="104"/>
      <c r="L22" s="104"/>
      <c r="M22" s="104"/>
    </row>
    <row r="24" spans="1:45" s="23" customFormat="1" ht="22.5" thickBot="1" x14ac:dyDescent="0.55000000000000004">
      <c r="A24" s="22"/>
      <c r="B24" s="22"/>
      <c r="C24" s="22"/>
      <c r="D24" s="22"/>
      <c r="E24" s="81" t="s">
        <v>99</v>
      </c>
      <c r="F24" s="82"/>
      <c r="G24" s="238"/>
      <c r="H24" s="125"/>
      <c r="I24" s="125"/>
      <c r="J24" s="125"/>
      <c r="K24" s="190"/>
      <c r="L24" s="190"/>
      <c r="M24" s="190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</row>
    <row r="25" spans="1:45" s="23" customFormat="1" ht="22.5" thickTop="1" x14ac:dyDescent="0.5">
      <c r="A25" s="22"/>
      <c r="B25" s="22"/>
      <c r="C25" s="22"/>
      <c r="D25" s="22"/>
      <c r="E25" s="23" t="s">
        <v>25</v>
      </c>
      <c r="F25" s="25"/>
      <c r="G25" s="107"/>
      <c r="H25" s="107"/>
      <c r="I25" s="107"/>
      <c r="J25" s="107"/>
      <c r="K25" s="190"/>
      <c r="L25" s="190"/>
      <c r="M25" s="190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</row>
    <row r="26" spans="1:45" s="23" customFormat="1" x14ac:dyDescent="0.5">
      <c r="A26" s="22"/>
      <c r="B26" s="22"/>
      <c r="C26" s="22"/>
      <c r="D26" s="22"/>
      <c r="E26" s="23" t="s">
        <v>98</v>
      </c>
      <c r="F26" s="25"/>
      <c r="G26" s="107"/>
      <c r="H26" s="107"/>
      <c r="I26" s="107"/>
      <c r="J26" s="107"/>
      <c r="K26" s="190"/>
      <c r="L26" s="190"/>
      <c r="M26" s="190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</row>
    <row r="27" spans="1:45" s="23" customFormat="1" x14ac:dyDescent="0.5">
      <c r="A27" s="22"/>
      <c r="B27" s="22"/>
      <c r="C27" s="22"/>
      <c r="D27" s="22"/>
      <c r="E27" s="23" t="s">
        <v>18</v>
      </c>
      <c r="F27" s="25"/>
      <c r="G27" s="107"/>
      <c r="H27" s="107"/>
      <c r="I27" s="107"/>
      <c r="J27" s="107"/>
      <c r="K27" s="190"/>
      <c r="L27" s="190"/>
      <c r="M27" s="190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</row>
  </sheetData>
  <mergeCells count="19">
    <mergeCell ref="A1:L1"/>
    <mergeCell ref="A2:L2"/>
    <mergeCell ref="A3:L3"/>
    <mergeCell ref="F4:G4"/>
    <mergeCell ref="A5:A8"/>
    <mergeCell ref="B5:B8"/>
    <mergeCell ref="C5:C8"/>
    <mergeCell ref="D5:D8"/>
    <mergeCell ref="E5:E8"/>
    <mergeCell ref="J5:J8"/>
    <mergeCell ref="K5:K8"/>
    <mergeCell ref="L5:L8"/>
    <mergeCell ref="O5:O8"/>
    <mergeCell ref="P5:P8"/>
    <mergeCell ref="F6:F8"/>
    <mergeCell ref="G6:G8"/>
    <mergeCell ref="I5:I8"/>
    <mergeCell ref="F5:H5"/>
    <mergeCell ref="H6:H8"/>
  </mergeCells>
  <pageMargins left="0.43307086614173229" right="0.31496062992125984" top="0.74803149606299213" bottom="0.74803149606299213" header="0.31496062992125984" footer="0.31496062992125984"/>
  <pageSetup paperSize="9" orientation="landscape" blackAndWhite="1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32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6" style="264" customWidth="1"/>
    <col min="7" max="7" width="14.7109375" style="106" customWidth="1"/>
    <col min="8" max="8" width="14.7109375" style="106" hidden="1" customWidth="1"/>
    <col min="9" max="9" width="30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0.140625" style="106" customWidth="1"/>
    <col min="15" max="15" width="4.28515625" style="441" customWidth="1"/>
    <col min="16" max="16" width="19.5703125" style="434" bestFit="1" customWidth="1"/>
    <col min="17" max="17" width="9.140625" style="434"/>
    <col min="18" max="18" width="16" style="434" bestFit="1" customWidth="1"/>
    <col min="19" max="19" width="9.140625" style="434"/>
    <col min="20" max="20" width="13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70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70"/>
      <c r="P2" s="435" t="s">
        <v>522</v>
      </c>
      <c r="Q2" s="434">
        <v>6</v>
      </c>
      <c r="R2" s="436" t="e">
        <f>+#REF!+#REF!+#REF!+#REF!+#REF!+#REF!</f>
        <v>#REF!</v>
      </c>
      <c r="S2" s="467">
        <v>1</v>
      </c>
      <c r="T2" s="436" t="e">
        <f>+#REF!</f>
        <v>#REF!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70"/>
      <c r="P3" s="437" t="s">
        <v>523</v>
      </c>
      <c r="Q3" s="438">
        <v>5</v>
      </c>
      <c r="R3" s="439" t="e">
        <f>+#REF!+#REF!+#REF!+#REF!+#REF!</f>
        <v>#REF!</v>
      </c>
      <c r="S3" s="440">
        <v>3</v>
      </c>
      <c r="T3" s="439" t="e">
        <f>+#REF!+#REF!+#REF!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61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8"/>
      <c r="R8" s="788"/>
    </row>
    <row r="9" spans="1:39" x14ac:dyDescent="0.5">
      <c r="A9" s="12"/>
      <c r="B9" s="12"/>
      <c r="C9" s="12"/>
      <c r="D9" s="12"/>
      <c r="E9" s="32" t="s">
        <v>22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65.25" x14ac:dyDescent="0.2">
      <c r="A11" s="486">
        <v>1</v>
      </c>
      <c r="B11" s="486"/>
      <c r="C11" s="699" t="s">
        <v>206</v>
      </c>
      <c r="D11" s="486" t="s">
        <v>22</v>
      </c>
      <c r="E11" s="530" t="s">
        <v>483</v>
      </c>
      <c r="F11" s="488">
        <v>5800000</v>
      </c>
      <c r="G11" s="488"/>
      <c r="H11" s="488"/>
      <c r="I11" s="554" t="s">
        <v>553</v>
      </c>
      <c r="J11" s="513"/>
      <c r="K11" s="514"/>
      <c r="L11" s="514"/>
      <c r="M11" s="554" t="s">
        <v>797</v>
      </c>
      <c r="N11" s="554"/>
      <c r="O11" s="464">
        <v>2</v>
      </c>
      <c r="P11" s="453"/>
      <c r="Q11" s="453"/>
      <c r="R11" s="453"/>
      <c r="S11" s="453"/>
      <c r="T11" s="453"/>
    </row>
    <row r="12" spans="1:39" s="19" customFormat="1" ht="45" x14ac:dyDescent="0.2">
      <c r="A12" s="486">
        <v>2</v>
      </c>
      <c r="B12" s="486"/>
      <c r="C12" s="631" t="s">
        <v>360</v>
      </c>
      <c r="D12" s="486" t="s">
        <v>22</v>
      </c>
      <c r="E12" s="530" t="s">
        <v>205</v>
      </c>
      <c r="F12" s="488">
        <v>500000000</v>
      </c>
      <c r="G12" s="488"/>
      <c r="H12" s="488"/>
      <c r="I12" s="554" t="s">
        <v>798</v>
      </c>
      <c r="J12" s="513"/>
      <c r="K12" s="514"/>
      <c r="L12" s="514"/>
      <c r="M12" s="554" t="s">
        <v>798</v>
      </c>
      <c r="N12" s="554"/>
      <c r="O12" s="464">
        <v>2</v>
      </c>
      <c r="P12" s="453"/>
      <c r="Q12" s="453"/>
      <c r="R12" s="453"/>
      <c r="S12" s="453"/>
      <c r="T12" s="453"/>
    </row>
    <row r="13" spans="1:39" s="19" customFormat="1" ht="87" x14ac:dyDescent="0.2">
      <c r="A13" s="486">
        <v>3</v>
      </c>
      <c r="B13" s="486"/>
      <c r="C13" s="631" t="s">
        <v>360</v>
      </c>
      <c r="D13" s="486" t="s">
        <v>22</v>
      </c>
      <c r="E13" s="530" t="s">
        <v>484</v>
      </c>
      <c r="F13" s="488">
        <v>10000000</v>
      </c>
      <c r="G13" s="488"/>
      <c r="H13" s="488"/>
      <c r="I13" s="554" t="s">
        <v>799</v>
      </c>
      <c r="J13" s="513"/>
      <c r="K13" s="514"/>
      <c r="L13" s="514"/>
      <c r="M13" s="554" t="s">
        <v>800</v>
      </c>
      <c r="N13" s="554"/>
      <c r="O13" s="464">
        <v>2</v>
      </c>
      <c r="P13" s="453"/>
      <c r="Q13" s="453"/>
      <c r="R13" s="453"/>
      <c r="S13" s="453"/>
      <c r="T13" s="453"/>
    </row>
    <row r="14" spans="1:39" s="19" customFormat="1" ht="65.25" x14ac:dyDescent="0.2">
      <c r="A14" s="486">
        <v>4</v>
      </c>
      <c r="B14" s="486"/>
      <c r="C14" s="631" t="s">
        <v>360</v>
      </c>
      <c r="D14" s="486" t="s">
        <v>22</v>
      </c>
      <c r="E14" s="530" t="s">
        <v>485</v>
      </c>
      <c r="F14" s="488">
        <v>3200000</v>
      </c>
      <c r="G14" s="488"/>
      <c r="H14" s="488"/>
      <c r="I14" s="554" t="s">
        <v>801</v>
      </c>
      <c r="J14" s="513"/>
      <c r="K14" s="514"/>
      <c r="L14" s="514"/>
      <c r="M14" s="554" t="s">
        <v>802</v>
      </c>
      <c r="N14" s="554"/>
      <c r="O14" s="464">
        <v>2</v>
      </c>
      <c r="P14" s="453"/>
      <c r="Q14" s="453"/>
      <c r="R14" s="453"/>
      <c r="S14" s="453"/>
      <c r="T14" s="453"/>
    </row>
    <row r="15" spans="1:39" s="19" customFormat="1" ht="65.25" x14ac:dyDescent="0.2">
      <c r="A15" s="486">
        <v>5</v>
      </c>
      <c r="B15" s="486"/>
      <c r="C15" s="651" t="s">
        <v>447</v>
      </c>
      <c r="D15" s="486" t="s">
        <v>22</v>
      </c>
      <c r="E15" s="530" t="s">
        <v>486</v>
      </c>
      <c r="F15" s="488">
        <v>322500000</v>
      </c>
      <c r="G15" s="488"/>
      <c r="H15" s="488"/>
      <c r="I15" s="554" t="s">
        <v>803</v>
      </c>
      <c r="J15" s="513"/>
      <c r="K15" s="514"/>
      <c r="L15" s="514"/>
      <c r="M15" s="554" t="s">
        <v>804</v>
      </c>
      <c r="N15" s="554"/>
      <c r="O15" s="464">
        <v>2</v>
      </c>
      <c r="P15" s="453"/>
      <c r="Q15" s="453"/>
      <c r="R15" s="453"/>
      <c r="S15" s="453"/>
      <c r="T15" s="453"/>
    </row>
    <row r="16" spans="1:39" s="9" customFormat="1" x14ac:dyDescent="0.2">
      <c r="A16" s="6"/>
      <c r="B16" s="13"/>
      <c r="C16" s="13"/>
      <c r="D16" s="13"/>
      <c r="E16" s="7"/>
      <c r="F16" s="257"/>
      <c r="G16" s="29"/>
      <c r="H16" s="29"/>
      <c r="I16" s="11"/>
      <c r="J16" s="11"/>
      <c r="K16" s="10"/>
      <c r="L16" s="10"/>
      <c r="M16" s="11"/>
      <c r="N16" s="11"/>
      <c r="O16" s="445"/>
      <c r="P16" s="437"/>
      <c r="Q16" s="437"/>
      <c r="R16" s="437"/>
      <c r="S16" s="437"/>
      <c r="T16" s="437"/>
    </row>
    <row r="17" spans="1:47" s="14" customFormat="1" x14ac:dyDescent="0.5">
      <c r="A17" s="241">
        <f>+A15</f>
        <v>5</v>
      </c>
      <c r="B17" s="241"/>
      <c r="C17" s="241"/>
      <c r="D17" s="241"/>
      <c r="E17" s="242" t="s">
        <v>47</v>
      </c>
      <c r="F17" s="258">
        <f>SUM(F11:F16)</f>
        <v>841500000</v>
      </c>
      <c r="G17" s="243">
        <f>SUM(G16:G16)</f>
        <v>0</v>
      </c>
      <c r="H17" s="243">
        <f>SUM(H16:H16)</f>
        <v>0</v>
      </c>
      <c r="I17" s="258"/>
      <c r="J17" s="258">
        <f>SUM(J16:J16)</f>
        <v>0</v>
      </c>
      <c r="K17" s="258">
        <f>SUM(K16:K16)</f>
        <v>0</v>
      </c>
      <c r="L17" s="258">
        <f>SUM(L16:L16)</f>
        <v>0</v>
      </c>
      <c r="M17" s="258"/>
      <c r="N17" s="258"/>
      <c r="O17" s="463"/>
      <c r="P17" s="450">
        <f>+F17+G17</f>
        <v>841500000</v>
      </c>
      <c r="Q17" s="451"/>
      <c r="R17" s="451"/>
      <c r="S17" s="452"/>
      <c r="T17" s="452"/>
    </row>
    <row r="18" spans="1:47" s="19" customFormat="1" x14ac:dyDescent="0.2">
      <c r="A18" s="17"/>
      <c r="B18" s="17"/>
      <c r="C18" s="17"/>
      <c r="D18" s="17"/>
      <c r="E18" s="30" t="s">
        <v>10</v>
      </c>
      <c r="F18" s="34"/>
      <c r="G18" s="34"/>
      <c r="H18" s="34"/>
      <c r="I18" s="34"/>
      <c r="J18" s="34"/>
      <c r="K18" s="18"/>
      <c r="L18" s="18"/>
      <c r="M18" s="34"/>
      <c r="N18" s="34"/>
      <c r="O18" s="464"/>
      <c r="P18" s="453"/>
      <c r="Q18" s="453"/>
      <c r="R18" s="453"/>
      <c r="S18" s="453"/>
      <c r="T18" s="453"/>
    </row>
    <row r="19" spans="1:47" s="19" customFormat="1" ht="65.25" x14ac:dyDescent="0.2">
      <c r="A19" s="486">
        <v>1</v>
      </c>
      <c r="B19" s="486"/>
      <c r="C19" s="631" t="s">
        <v>360</v>
      </c>
      <c r="D19" s="486" t="s">
        <v>22</v>
      </c>
      <c r="E19" s="530" t="s">
        <v>487</v>
      </c>
      <c r="F19" s="488">
        <v>12326800</v>
      </c>
      <c r="G19" s="488"/>
      <c r="H19" s="488"/>
      <c r="I19" s="554" t="s">
        <v>805</v>
      </c>
      <c r="J19" s="546"/>
      <c r="K19" s="547"/>
      <c r="L19" s="547"/>
      <c r="M19" s="554" t="s">
        <v>804</v>
      </c>
      <c r="N19" s="554"/>
      <c r="O19" s="464">
        <v>2</v>
      </c>
      <c r="P19" s="453"/>
      <c r="Q19" s="453"/>
      <c r="R19" s="453"/>
      <c r="S19" s="453"/>
      <c r="T19" s="453"/>
    </row>
    <row r="20" spans="1:47" s="19" customFormat="1" ht="65.25" x14ac:dyDescent="0.2">
      <c r="A20" s="486">
        <v>2</v>
      </c>
      <c r="B20" s="486"/>
      <c r="C20" s="631" t="s">
        <v>360</v>
      </c>
      <c r="D20" s="486" t="s">
        <v>22</v>
      </c>
      <c r="E20" s="530" t="s">
        <v>488</v>
      </c>
      <c r="F20" s="488">
        <v>15728000</v>
      </c>
      <c r="G20" s="488"/>
      <c r="H20" s="488"/>
      <c r="I20" s="554" t="s">
        <v>805</v>
      </c>
      <c r="J20" s="546"/>
      <c r="K20" s="547"/>
      <c r="L20" s="547"/>
      <c r="M20" s="554" t="s">
        <v>806</v>
      </c>
      <c r="N20" s="554"/>
      <c r="O20" s="464">
        <v>2</v>
      </c>
      <c r="P20" s="453"/>
      <c r="Q20" s="453"/>
      <c r="R20" s="453"/>
      <c r="S20" s="453"/>
      <c r="T20" s="453"/>
    </row>
    <row r="21" spans="1:47" s="19" customFormat="1" ht="65.25" x14ac:dyDescent="0.2">
      <c r="A21" s="275">
        <v>3</v>
      </c>
      <c r="B21" s="275"/>
      <c r="C21" s="625" t="s">
        <v>360</v>
      </c>
      <c r="D21" s="275" t="s">
        <v>22</v>
      </c>
      <c r="E21" s="518" t="s">
        <v>489</v>
      </c>
      <c r="F21" s="298">
        <v>2000000</v>
      </c>
      <c r="G21" s="298"/>
      <c r="H21" s="298"/>
      <c r="I21" s="633" t="s">
        <v>807</v>
      </c>
      <c r="J21" s="546"/>
      <c r="K21" s="547"/>
      <c r="L21" s="547"/>
      <c r="M21" s="548" t="s">
        <v>553</v>
      </c>
      <c r="N21" s="548"/>
      <c r="O21" s="464">
        <v>1</v>
      </c>
      <c r="P21" s="453"/>
      <c r="Q21" s="453"/>
      <c r="R21" s="453"/>
      <c r="S21" s="453"/>
      <c r="T21" s="453"/>
    </row>
    <row r="22" spans="1:47" s="19" customFormat="1" ht="65.25" x14ac:dyDescent="0.2">
      <c r="A22" s="486">
        <v>4</v>
      </c>
      <c r="B22" s="486"/>
      <c r="C22" s="631" t="s">
        <v>360</v>
      </c>
      <c r="D22" s="486"/>
      <c r="E22" s="601" t="s">
        <v>386</v>
      </c>
      <c r="F22" s="602">
        <v>9200000</v>
      </c>
      <c r="G22" s="488"/>
      <c r="H22" s="488"/>
      <c r="I22" s="554" t="s">
        <v>808</v>
      </c>
      <c r="J22" s="546"/>
      <c r="K22" s="547"/>
      <c r="L22" s="547"/>
      <c r="M22" s="554" t="s">
        <v>809</v>
      </c>
      <c r="N22" s="554"/>
      <c r="O22" s="464">
        <v>2</v>
      </c>
      <c r="P22" s="453"/>
      <c r="Q22" s="453"/>
      <c r="R22" s="453"/>
      <c r="S22" s="453"/>
      <c r="T22" s="453"/>
    </row>
    <row r="23" spans="1:47" s="9" customFormat="1" x14ac:dyDescent="0.2">
      <c r="A23" s="6"/>
      <c r="B23" s="6"/>
      <c r="C23" s="6"/>
      <c r="D23" s="6"/>
      <c r="E23" s="7"/>
      <c r="F23" s="10"/>
      <c r="G23" s="29"/>
      <c r="H23" s="29"/>
      <c r="I23" s="11"/>
      <c r="J23" s="11"/>
      <c r="K23" s="10"/>
      <c r="L23" s="10"/>
      <c r="M23" s="11"/>
      <c r="N23" s="11"/>
      <c r="O23" s="445"/>
      <c r="P23" s="437"/>
      <c r="Q23" s="437"/>
      <c r="R23" s="437"/>
      <c r="S23" s="437"/>
      <c r="T23" s="437"/>
    </row>
    <row r="24" spans="1:47" s="19" customFormat="1" ht="22.5" thickBot="1" x14ac:dyDescent="0.55000000000000004">
      <c r="A24" s="244">
        <f>+A22</f>
        <v>4</v>
      </c>
      <c r="B24" s="244"/>
      <c r="C24" s="244"/>
      <c r="D24" s="244"/>
      <c r="E24" s="245" t="s">
        <v>33</v>
      </c>
      <c r="F24" s="259">
        <f>SUM(F19:F23)</f>
        <v>39254800</v>
      </c>
      <c r="G24" s="246">
        <f>SUM(G23:G23)</f>
        <v>0</v>
      </c>
      <c r="H24" s="246">
        <f>SUM(H23:H23)</f>
        <v>0</v>
      </c>
      <c r="I24" s="259"/>
      <c r="J24" s="259">
        <f>SUM(J23:J23)</f>
        <v>0</v>
      </c>
      <c r="K24" s="259">
        <f>SUM(K23:K23)</f>
        <v>0</v>
      </c>
      <c r="L24" s="259">
        <f>SUM(L23:L23)</f>
        <v>0</v>
      </c>
      <c r="M24" s="259"/>
      <c r="N24" s="259"/>
      <c r="O24" s="462"/>
      <c r="P24" s="455">
        <f>+F24+G24</f>
        <v>39254800</v>
      </c>
      <c r="Q24" s="451"/>
      <c r="R24" s="451"/>
      <c r="S24" s="453"/>
      <c r="T24" s="453"/>
    </row>
    <row r="25" spans="1:47" s="28" customFormat="1" ht="22.5" thickBot="1" x14ac:dyDescent="0.55000000000000004">
      <c r="A25" s="247">
        <f>+A17+A24</f>
        <v>9</v>
      </c>
      <c r="B25" s="248"/>
      <c r="C25" s="248"/>
      <c r="D25" s="248"/>
      <c r="E25" s="248" t="s">
        <v>164</v>
      </c>
      <c r="F25" s="260">
        <f>F17+F24</f>
        <v>880754800</v>
      </c>
      <c r="G25" s="310">
        <f>+G17+G24</f>
        <v>0</v>
      </c>
      <c r="H25" s="310">
        <f>+H17+H24</f>
        <v>0</v>
      </c>
      <c r="I25" s="249"/>
      <c r="J25" s="249">
        <f>J17+J24</f>
        <v>0</v>
      </c>
      <c r="K25" s="249">
        <f>K17+K24</f>
        <v>0</v>
      </c>
      <c r="L25" s="249">
        <f>L17+L24</f>
        <v>0</v>
      </c>
      <c r="M25" s="249"/>
      <c r="N25" s="249"/>
      <c r="O25" s="465"/>
      <c r="P25" s="436">
        <f>+P17+P24</f>
        <v>880754800</v>
      </c>
      <c r="Q25" s="457"/>
      <c r="R25" s="457"/>
      <c r="S25" s="434"/>
      <c r="T25" s="434"/>
      <c r="U25" s="2"/>
      <c r="V25" s="2"/>
      <c r="W25" s="2"/>
      <c r="X25" s="2"/>
      <c r="Y25" s="2"/>
      <c r="Z25" s="2"/>
      <c r="AA25" s="2"/>
      <c r="AB25" s="2"/>
    </row>
    <row r="26" spans="1:47" s="9" customFormat="1" x14ac:dyDescent="0.2">
      <c r="A26" s="15"/>
      <c r="B26" s="15"/>
      <c r="C26" s="15"/>
      <c r="D26" s="15"/>
      <c r="E26" s="31"/>
      <c r="F26" s="104"/>
      <c r="G26" s="20"/>
      <c r="H26" s="20"/>
      <c r="I26" s="20"/>
      <c r="J26" s="20"/>
      <c r="K26" s="104"/>
      <c r="L26" s="104"/>
      <c r="M26" s="20"/>
      <c r="N26" s="20"/>
      <c r="O26" s="445"/>
      <c r="P26" s="437"/>
      <c r="Q26" s="437"/>
      <c r="R26" s="437"/>
      <c r="S26" s="437"/>
      <c r="T26" s="437"/>
    </row>
    <row r="27" spans="1:47" s="9" customFormat="1" x14ac:dyDescent="0.5">
      <c r="A27" s="15"/>
      <c r="B27" s="15"/>
      <c r="C27" s="15"/>
      <c r="D27" s="15"/>
      <c r="E27" s="31"/>
      <c r="F27" s="261"/>
      <c r="G27" s="20"/>
      <c r="H27" s="20"/>
      <c r="I27" s="20"/>
      <c r="J27" s="20"/>
      <c r="K27" s="104"/>
      <c r="L27" s="104"/>
      <c r="M27" s="20"/>
      <c r="N27" s="20"/>
      <c r="O27" s="445"/>
      <c r="P27" s="437"/>
      <c r="Q27" s="437"/>
      <c r="R27" s="437"/>
      <c r="S27" s="437"/>
      <c r="T27" s="437"/>
    </row>
    <row r="29" spans="1:47" s="23" customFormat="1" x14ac:dyDescent="0.5">
      <c r="A29" s="22"/>
      <c r="B29" s="22"/>
      <c r="C29" s="22"/>
      <c r="D29" s="22"/>
      <c r="E29" s="81"/>
      <c r="F29" s="277"/>
      <c r="G29" s="125"/>
      <c r="H29" s="125"/>
      <c r="I29" s="125"/>
      <c r="J29" s="125"/>
      <c r="K29" s="190"/>
      <c r="L29" s="190"/>
      <c r="M29" s="125"/>
      <c r="N29" s="125"/>
      <c r="O29" s="441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  <row r="30" spans="1:47" s="23" customFormat="1" x14ac:dyDescent="0.5">
      <c r="A30" s="22"/>
      <c r="B30" s="22"/>
      <c r="C30" s="22"/>
      <c r="D30" s="22"/>
      <c r="F30" s="263"/>
      <c r="G30" s="107"/>
      <c r="H30" s="107"/>
      <c r="I30" s="107"/>
      <c r="J30" s="107"/>
      <c r="K30" s="190"/>
      <c r="L30" s="190"/>
      <c r="M30" s="107"/>
      <c r="N30" s="107"/>
      <c r="O30" s="441"/>
      <c r="P30" s="434"/>
      <c r="Q30" s="434"/>
      <c r="R30" s="434"/>
      <c r="S30" s="434"/>
      <c r="T30" s="43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</row>
    <row r="31" spans="1:47" s="23" customFormat="1" x14ac:dyDescent="0.5">
      <c r="A31" s="22"/>
      <c r="B31" s="22"/>
      <c r="C31" s="22"/>
      <c r="D31" s="22"/>
      <c r="F31" s="263"/>
      <c r="G31" s="107"/>
      <c r="H31" s="107"/>
      <c r="I31" s="107"/>
      <c r="J31" s="107"/>
      <c r="K31" s="190"/>
      <c r="L31" s="190"/>
      <c r="M31" s="107"/>
      <c r="N31" s="107"/>
      <c r="O31" s="441"/>
      <c r="P31" s="434"/>
      <c r="Q31" s="434"/>
      <c r="R31" s="434"/>
      <c r="S31" s="434"/>
      <c r="T31" s="43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</row>
    <row r="32" spans="1:47" s="23" customFormat="1" x14ac:dyDescent="0.5">
      <c r="A32" s="22"/>
      <c r="B32" s="22"/>
      <c r="C32" s="22"/>
      <c r="D32" s="22"/>
      <c r="F32" s="263"/>
      <c r="G32" s="107"/>
      <c r="H32" s="107"/>
      <c r="I32" s="107"/>
      <c r="J32" s="107"/>
      <c r="K32" s="190"/>
      <c r="L32" s="190"/>
      <c r="M32" s="107"/>
      <c r="N32" s="107"/>
      <c r="O32" s="441"/>
      <c r="P32" s="434"/>
      <c r="Q32" s="434"/>
      <c r="R32" s="434"/>
      <c r="S32" s="434"/>
      <c r="T32" s="43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</row>
  </sheetData>
  <autoFilter ref="O1:O32"/>
  <mergeCells count="21">
    <mergeCell ref="A1:N1"/>
    <mergeCell ref="A2:N2"/>
    <mergeCell ref="A3:N3"/>
    <mergeCell ref="D5:D8"/>
    <mergeCell ref="I5:I8"/>
    <mergeCell ref="F5:H5"/>
    <mergeCell ref="H6:H8"/>
    <mergeCell ref="N5:N8"/>
    <mergeCell ref="M5:M8"/>
    <mergeCell ref="E5:E8"/>
    <mergeCell ref="A5:A8"/>
    <mergeCell ref="B5:B8"/>
    <mergeCell ref="C5:C8"/>
    <mergeCell ref="R5:R8"/>
    <mergeCell ref="K5:K8"/>
    <mergeCell ref="F4:G4"/>
    <mergeCell ref="Q5:Q8"/>
    <mergeCell ref="G6:G8"/>
    <mergeCell ref="L5:L8"/>
    <mergeCell ref="J5:J8"/>
    <mergeCell ref="F6:F8"/>
  </mergeCells>
  <phoneticPr fontId="2" type="noConversion"/>
  <conditionalFormatting sqref="F11:F15">
    <cfRule type="cellIs" dxfId="1" priority="2" stopIfTrue="1" operator="between">
      <formula>2000001</formula>
      <formula>500000000</formula>
    </cfRule>
  </conditionalFormatting>
  <conditionalFormatting sqref="F19:F22">
    <cfRule type="cellIs" dxfId="0" priority="1" stopIfTrue="1" operator="between">
      <formula>2000001</formula>
      <formula>500000000</formula>
    </cfRule>
  </conditionalFormatting>
  <pageMargins left="0.74803149606299213" right="0.27559055118110237" top="0.43307086614173229" bottom="0.43307086614173229" header="0.35433070866141736" footer="0.35433070866141736"/>
  <pageSetup paperSize="9" scale="9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V29"/>
  <sheetViews>
    <sheetView tabSelected="1"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543" customWidth="1"/>
    <col min="2" max="3" width="6.7109375" style="543" customWidth="1"/>
    <col min="4" max="4" width="8.42578125" style="543" customWidth="1"/>
    <col min="5" max="5" width="43" style="520" customWidth="1"/>
    <col min="6" max="6" width="14.85546875" style="544" customWidth="1"/>
    <col min="7" max="7" width="15.42578125" style="545" customWidth="1"/>
    <col min="8" max="8" width="15.42578125" style="545" hidden="1" customWidth="1"/>
    <col min="9" max="9" width="34.28515625" style="545" hidden="1" customWidth="1"/>
    <col min="10" max="10" width="13.140625" style="545" hidden="1" customWidth="1"/>
    <col min="11" max="11" width="12.28515625" style="524" hidden="1" customWidth="1"/>
    <col min="12" max="12" width="14" style="524" hidden="1" customWidth="1"/>
    <col min="13" max="14" width="33.7109375" style="504" customWidth="1"/>
    <col min="15" max="15" width="5" style="525" customWidth="1"/>
    <col min="16" max="16" width="19.5703125" style="452" bestFit="1" customWidth="1"/>
    <col min="17" max="17" width="12.42578125" style="452" bestFit="1" customWidth="1"/>
    <col min="18" max="18" width="14.42578125" style="452" customWidth="1"/>
    <col min="19" max="19" width="4" style="452" customWidth="1"/>
    <col min="20" max="20" width="13.5703125" style="452" bestFit="1" customWidth="1"/>
    <col min="21" max="29" width="9.140625" style="14"/>
    <col min="30" max="16384" width="9.140625" style="520"/>
  </cols>
  <sheetData>
    <row r="1" spans="1:40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70"/>
      <c r="R1" s="452" t="s">
        <v>524</v>
      </c>
      <c r="T1" s="452" t="s">
        <v>202</v>
      </c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</row>
    <row r="2" spans="1:40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70"/>
      <c r="P2" s="455" t="s">
        <v>522</v>
      </c>
      <c r="Q2" s="452">
        <v>11</v>
      </c>
      <c r="R2" s="450" t="e">
        <f>+#REF!+#REF!+#REF!+#REF!+#REF!+#REF!+#REF!+#REF!+#REF!+#REF!+F14</f>
        <v>#REF!</v>
      </c>
      <c r="S2" s="450" t="s">
        <v>209</v>
      </c>
      <c r="T2" s="452" t="s">
        <v>209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70"/>
      <c r="P3" s="453" t="s">
        <v>523</v>
      </c>
      <c r="Q3" s="521">
        <v>2</v>
      </c>
      <c r="R3" s="522" t="e">
        <f>+#REF!+F11</f>
        <v>#REF!</v>
      </c>
      <c r="S3" s="523">
        <v>1</v>
      </c>
      <c r="T3" s="522">
        <f>+F18</f>
        <v>17665600</v>
      </c>
      <c r="U3" s="520"/>
      <c r="V3" s="520"/>
      <c r="W3" s="520"/>
      <c r="X3" s="520"/>
      <c r="Y3" s="520"/>
      <c r="Z3" s="520"/>
      <c r="AA3" s="520"/>
      <c r="AB3" s="520"/>
      <c r="AC3" s="520"/>
    </row>
    <row r="4" spans="1:40" x14ac:dyDescent="0.5">
      <c r="A4" s="520"/>
      <c r="B4" s="520"/>
      <c r="C4" s="520"/>
      <c r="D4" s="520"/>
      <c r="F4" s="783"/>
      <c r="G4" s="783"/>
      <c r="H4" s="261"/>
      <c r="I4" s="261"/>
      <c r="J4" s="261"/>
      <c r="M4" s="495"/>
      <c r="N4" s="495"/>
      <c r="P4" s="452" t="s">
        <v>536</v>
      </c>
      <c r="Q4" s="526" t="s">
        <v>209</v>
      </c>
      <c r="R4" s="526" t="s">
        <v>209</v>
      </c>
      <c r="S4" s="526" t="s">
        <v>209</v>
      </c>
      <c r="T4" s="452" t="s">
        <v>209</v>
      </c>
    </row>
    <row r="5" spans="1:40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62"/>
      <c r="Q5" s="782" t="s">
        <v>142</v>
      </c>
      <c r="R5" s="782" t="s">
        <v>150</v>
      </c>
      <c r="S5" s="527"/>
    </row>
    <row r="6" spans="1:40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62"/>
      <c r="Q6" s="782"/>
      <c r="R6" s="782"/>
      <c r="S6" s="527"/>
    </row>
    <row r="7" spans="1:40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62"/>
      <c r="Q7" s="782"/>
      <c r="R7" s="782"/>
      <c r="S7" s="527"/>
    </row>
    <row r="8" spans="1:40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62"/>
      <c r="Q8" s="782"/>
      <c r="R8" s="782"/>
      <c r="S8" s="527"/>
    </row>
    <row r="9" spans="1:40" x14ac:dyDescent="0.5">
      <c r="A9" s="12"/>
      <c r="B9" s="12"/>
      <c r="C9" s="12"/>
      <c r="D9" s="12"/>
      <c r="E9" s="32" t="s">
        <v>14</v>
      </c>
      <c r="F9" s="256"/>
      <c r="G9" s="105"/>
      <c r="H9" s="105"/>
      <c r="I9" s="105"/>
      <c r="J9" s="105"/>
      <c r="K9" s="528"/>
      <c r="L9" s="528"/>
      <c r="M9" s="496"/>
      <c r="N9" s="496"/>
    </row>
    <row r="10" spans="1:40" s="19" customFormat="1" x14ac:dyDescent="0.2">
      <c r="A10" s="17"/>
      <c r="B10" s="17"/>
      <c r="C10" s="17"/>
      <c r="D10" s="17"/>
      <c r="E10" s="17" t="s">
        <v>37</v>
      </c>
      <c r="F10" s="34"/>
      <c r="G10" s="34"/>
      <c r="H10" s="34"/>
      <c r="I10" s="34"/>
      <c r="J10" s="34"/>
      <c r="K10" s="18"/>
      <c r="L10" s="18"/>
      <c r="M10" s="497"/>
      <c r="N10" s="497"/>
      <c r="O10" s="464"/>
      <c r="P10" s="455"/>
      <c r="Q10" s="453"/>
      <c r="R10" s="476"/>
      <c r="S10" s="476"/>
      <c r="T10" s="476"/>
    </row>
    <row r="11" spans="1:40" s="302" customFormat="1" ht="108.75" x14ac:dyDescent="0.2">
      <c r="A11" s="486">
        <v>1</v>
      </c>
      <c r="B11" s="486"/>
      <c r="C11" s="529" t="s">
        <v>303</v>
      </c>
      <c r="D11" s="486" t="s">
        <v>14</v>
      </c>
      <c r="E11" s="530" t="s">
        <v>342</v>
      </c>
      <c r="F11" s="531">
        <v>7870000</v>
      </c>
      <c r="G11" s="488"/>
      <c r="H11" s="488"/>
      <c r="I11" s="512" t="s">
        <v>540</v>
      </c>
      <c r="J11" s="513"/>
      <c r="K11" s="514"/>
      <c r="L11" s="514"/>
      <c r="M11" s="512" t="s">
        <v>541</v>
      </c>
      <c r="N11" s="512"/>
      <c r="O11" s="469">
        <v>2</v>
      </c>
      <c r="P11" s="454"/>
      <c r="Q11" s="454"/>
      <c r="R11" s="454"/>
      <c r="S11" s="454"/>
      <c r="T11" s="454"/>
    </row>
    <row r="12" spans="1:40" s="302" customFormat="1" ht="105" x14ac:dyDescent="0.2">
      <c r="A12" s="275">
        <v>2</v>
      </c>
      <c r="B12" s="275" t="s">
        <v>14</v>
      </c>
      <c r="C12" s="517" t="s">
        <v>543</v>
      </c>
      <c r="D12" s="275" t="s">
        <v>14</v>
      </c>
      <c r="E12" s="518" t="s">
        <v>544</v>
      </c>
      <c r="F12" s="519">
        <v>5500</v>
      </c>
      <c r="G12" s="298"/>
      <c r="H12" s="298"/>
      <c r="I12" s="516"/>
      <c r="J12" s="516"/>
      <c r="K12" s="516"/>
      <c r="L12" s="516"/>
      <c r="M12" s="516"/>
      <c r="N12" s="516"/>
      <c r="O12" s="469"/>
      <c r="P12" s="454"/>
      <c r="Q12" s="453"/>
      <c r="R12" s="454"/>
      <c r="S12" s="454"/>
      <c r="T12" s="454"/>
    </row>
    <row r="13" spans="1:40" s="302" customFormat="1" ht="105" x14ac:dyDescent="0.2">
      <c r="A13" s="275">
        <v>3</v>
      </c>
      <c r="B13" s="275" t="s">
        <v>14</v>
      </c>
      <c r="C13" s="517" t="s">
        <v>543</v>
      </c>
      <c r="D13" s="275" t="s">
        <v>14</v>
      </c>
      <c r="E13" s="518" t="s">
        <v>545</v>
      </c>
      <c r="F13" s="519">
        <v>20400</v>
      </c>
      <c r="G13" s="298"/>
      <c r="H13" s="298"/>
      <c r="I13" s="516"/>
      <c r="J13" s="516"/>
      <c r="K13" s="516"/>
      <c r="L13" s="516"/>
      <c r="M13" s="516"/>
      <c r="N13" s="516"/>
      <c r="O13" s="469"/>
      <c r="P13" s="454"/>
      <c r="Q13" s="453"/>
      <c r="R13" s="454"/>
      <c r="S13" s="454"/>
      <c r="T13" s="454"/>
    </row>
    <row r="14" spans="1:40" s="302" customFormat="1" ht="42.75" customHeight="1" x14ac:dyDescent="0.2">
      <c r="A14" s="275">
        <v>4</v>
      </c>
      <c r="B14" s="275" t="s">
        <v>14</v>
      </c>
      <c r="C14" s="517" t="s">
        <v>543</v>
      </c>
      <c r="D14" s="275" t="s">
        <v>14</v>
      </c>
      <c r="E14" s="518" t="s">
        <v>546</v>
      </c>
      <c r="F14" s="519">
        <v>23000</v>
      </c>
      <c r="G14" s="298"/>
      <c r="H14" s="298"/>
      <c r="I14" s="499">
        <f>+[2]บช.น.!I23</f>
        <v>0</v>
      </c>
      <c r="J14" s="298"/>
      <c r="K14" s="301"/>
      <c r="L14" s="301"/>
      <c r="M14" s="499"/>
      <c r="N14" s="499"/>
      <c r="O14" s="469">
        <v>1</v>
      </c>
      <c r="P14" s="454"/>
      <c r="Q14" s="453"/>
      <c r="R14" s="454"/>
      <c r="S14" s="454"/>
      <c r="T14" s="454"/>
    </row>
    <row r="15" spans="1:40" s="19" customFormat="1" x14ac:dyDescent="0.2">
      <c r="A15" s="17"/>
      <c r="B15" s="533"/>
      <c r="C15" s="533"/>
      <c r="D15" s="533"/>
      <c r="E15" s="534"/>
      <c r="F15" s="535"/>
      <c r="G15" s="34"/>
      <c r="H15" s="34"/>
      <c r="I15" s="34"/>
      <c r="J15" s="34"/>
      <c r="K15" s="18"/>
      <c r="L15" s="18"/>
      <c r="M15" s="497"/>
      <c r="N15" s="497"/>
      <c r="O15" s="464"/>
      <c r="P15" s="453"/>
      <c r="Q15" s="453"/>
      <c r="R15" s="453"/>
      <c r="S15" s="453"/>
      <c r="T15" s="453"/>
    </row>
    <row r="16" spans="1:40" s="14" customFormat="1" x14ac:dyDescent="0.5">
      <c r="A16" s="241">
        <f>+A14</f>
        <v>4</v>
      </c>
      <c r="B16" s="241"/>
      <c r="C16" s="241"/>
      <c r="D16" s="241"/>
      <c r="E16" s="242" t="s">
        <v>47</v>
      </c>
      <c r="F16" s="329">
        <f>SUM(F11:F15)</f>
        <v>7918900</v>
      </c>
      <c r="G16" s="258">
        <f>SUM(G11:G15)</f>
        <v>0</v>
      </c>
      <c r="H16" s="258">
        <f>SUM(H11:H15)</f>
        <v>0</v>
      </c>
      <c r="I16" s="258"/>
      <c r="J16" s="258">
        <f>SUM(J11:J15)</f>
        <v>0</v>
      </c>
      <c r="K16" s="258">
        <f>SUM(K11:K15)</f>
        <v>0</v>
      </c>
      <c r="L16" s="258">
        <f>SUM(L11:L15)</f>
        <v>0</v>
      </c>
      <c r="M16" s="500"/>
      <c r="N16" s="500"/>
      <c r="O16" s="463"/>
      <c r="P16" s="450">
        <f>+F16+G16</f>
        <v>7918900</v>
      </c>
      <c r="Q16" s="451"/>
      <c r="R16" s="451"/>
      <c r="S16" s="452"/>
      <c r="T16" s="452"/>
    </row>
    <row r="17" spans="1:48" s="19" customFormat="1" x14ac:dyDescent="0.2">
      <c r="A17" s="17"/>
      <c r="B17" s="17"/>
      <c r="C17" s="17"/>
      <c r="D17" s="17"/>
      <c r="E17" s="30" t="s">
        <v>10</v>
      </c>
      <c r="F17" s="336"/>
      <c r="G17" s="34"/>
      <c r="H17" s="34"/>
      <c r="I17" s="34"/>
      <c r="J17" s="34"/>
      <c r="K17" s="18"/>
      <c r="L17" s="18"/>
      <c r="M17" s="497"/>
      <c r="N17" s="497"/>
      <c r="O17" s="464"/>
      <c r="P17" s="453"/>
      <c r="Q17" s="453"/>
      <c r="R17" s="453"/>
      <c r="S17" s="453"/>
      <c r="T17" s="453"/>
    </row>
    <row r="18" spans="1:48" s="302" customFormat="1" ht="75" x14ac:dyDescent="0.2">
      <c r="A18" s="486">
        <v>1</v>
      </c>
      <c r="B18" s="486"/>
      <c r="C18" s="529" t="s">
        <v>303</v>
      </c>
      <c r="D18" s="486" t="s">
        <v>14</v>
      </c>
      <c r="E18" s="530" t="s">
        <v>527</v>
      </c>
      <c r="F18" s="531">
        <v>17665600</v>
      </c>
      <c r="G18" s="488"/>
      <c r="H18" s="488"/>
      <c r="I18" s="498">
        <f>+[2]บช.น.!I27</f>
        <v>0</v>
      </c>
      <c r="J18" s="298">
        <f>+[2]บช.น.!$I$27</f>
        <v>0</v>
      </c>
      <c r="K18" s="301">
        <f>+[2]บช.น.!$I$27</f>
        <v>0</v>
      </c>
      <c r="L18" s="301">
        <f>+[2]บช.น.!$I$27</f>
        <v>0</v>
      </c>
      <c r="M18" s="498"/>
      <c r="N18" s="498"/>
      <c r="O18" s="469">
        <v>2</v>
      </c>
      <c r="P18" s="454"/>
      <c r="Q18" s="454"/>
      <c r="R18" s="454"/>
      <c r="S18" s="454"/>
      <c r="T18" s="454"/>
    </row>
    <row r="19" spans="1:48" s="302" customFormat="1" ht="105" x14ac:dyDescent="0.2">
      <c r="A19" s="275">
        <v>2</v>
      </c>
      <c r="B19" s="275"/>
      <c r="C19" s="517" t="s">
        <v>543</v>
      </c>
      <c r="D19" s="275" t="s">
        <v>14</v>
      </c>
      <c r="E19" s="518" t="s">
        <v>547</v>
      </c>
      <c r="F19" s="519">
        <v>50000</v>
      </c>
      <c r="G19" s="298"/>
      <c r="H19" s="298"/>
      <c r="I19" s="499"/>
      <c r="J19" s="298"/>
      <c r="K19" s="301"/>
      <c r="L19" s="301"/>
      <c r="M19" s="499"/>
      <c r="N19" s="499"/>
      <c r="O19" s="469"/>
      <c r="P19" s="454"/>
      <c r="Q19" s="454"/>
      <c r="R19" s="454"/>
      <c r="S19" s="454"/>
      <c r="T19" s="454"/>
    </row>
    <row r="20" spans="1:48" s="19" customFormat="1" x14ac:dyDescent="0.2">
      <c r="A20" s="17"/>
      <c r="B20" s="17"/>
      <c r="C20" s="17"/>
      <c r="D20" s="17"/>
      <c r="E20" s="30"/>
      <c r="F20" s="336"/>
      <c r="G20" s="34"/>
      <c r="H20" s="34"/>
      <c r="I20" s="34"/>
      <c r="J20" s="34"/>
      <c r="K20" s="18"/>
      <c r="L20" s="18"/>
      <c r="M20" s="497"/>
      <c r="N20" s="497"/>
      <c r="O20" s="464"/>
      <c r="P20" s="453"/>
      <c r="Q20" s="453"/>
      <c r="R20" s="453"/>
      <c r="S20" s="453"/>
      <c r="T20" s="453"/>
    </row>
    <row r="21" spans="1:48" s="19" customFormat="1" ht="22.5" thickBot="1" x14ac:dyDescent="0.55000000000000004">
      <c r="A21" s="244">
        <f>+A19</f>
        <v>2</v>
      </c>
      <c r="B21" s="244"/>
      <c r="C21" s="244"/>
      <c r="D21" s="244"/>
      <c r="E21" s="245" t="s">
        <v>33</v>
      </c>
      <c r="F21" s="330">
        <f>SUM(F18:F20)</f>
        <v>17715600</v>
      </c>
      <c r="G21" s="246">
        <f>SUM(G18:G20)</f>
        <v>0</v>
      </c>
      <c r="H21" s="246">
        <f>SUM(H18:H20)</f>
        <v>0</v>
      </c>
      <c r="I21" s="259"/>
      <c r="J21" s="259">
        <f>SUM(J18:J20)</f>
        <v>0</v>
      </c>
      <c r="K21" s="259">
        <f>SUM(K18:K20)</f>
        <v>0</v>
      </c>
      <c r="L21" s="259">
        <f>SUM(L18:L20)</f>
        <v>0</v>
      </c>
      <c r="M21" s="501"/>
      <c r="N21" s="501"/>
      <c r="O21" s="462"/>
      <c r="P21" s="455">
        <f>+F21+G21</f>
        <v>17715600</v>
      </c>
      <c r="Q21" s="451"/>
      <c r="R21" s="451"/>
      <c r="S21" s="452"/>
      <c r="T21" s="453"/>
    </row>
    <row r="22" spans="1:48" s="537" customFormat="1" ht="22.5" thickBot="1" x14ac:dyDescent="0.55000000000000004">
      <c r="A22" s="247">
        <f>+A16+A21</f>
        <v>6</v>
      </c>
      <c r="B22" s="248"/>
      <c r="C22" s="248"/>
      <c r="D22" s="248"/>
      <c r="E22" s="248" t="s">
        <v>174</v>
      </c>
      <c r="F22" s="331">
        <f>F16+F21</f>
        <v>25634500</v>
      </c>
      <c r="G22" s="310">
        <f>+G16+G21</f>
        <v>0</v>
      </c>
      <c r="H22" s="310">
        <f>+H16+H21</f>
        <v>0</v>
      </c>
      <c r="I22" s="249"/>
      <c r="J22" s="249">
        <f>J16+J21</f>
        <v>0</v>
      </c>
      <c r="K22" s="249">
        <f>K16+K21</f>
        <v>0</v>
      </c>
      <c r="L22" s="249">
        <f>L16+L21</f>
        <v>0</v>
      </c>
      <c r="M22" s="502"/>
      <c r="N22" s="502"/>
      <c r="O22" s="465"/>
      <c r="P22" s="450">
        <f>+P16+P21</f>
        <v>25634500</v>
      </c>
      <c r="Q22" s="536"/>
      <c r="R22" s="536"/>
      <c r="S22" s="452"/>
      <c r="T22" s="452"/>
      <c r="U22" s="14"/>
      <c r="V22" s="14"/>
      <c r="W22" s="14"/>
      <c r="X22" s="14"/>
      <c r="Y22" s="14"/>
      <c r="Z22" s="14"/>
      <c r="AA22" s="14"/>
      <c r="AB22" s="14"/>
      <c r="AC22" s="14"/>
    </row>
    <row r="23" spans="1:48" s="19" customFormat="1" x14ac:dyDescent="0.2">
      <c r="A23" s="538"/>
      <c r="B23" s="538"/>
      <c r="C23" s="538"/>
      <c r="D23" s="538"/>
      <c r="E23" s="539"/>
      <c r="F23" s="424"/>
      <c r="G23" s="423"/>
      <c r="H23" s="423"/>
      <c r="I23" s="423"/>
      <c r="J23" s="423"/>
      <c r="K23" s="424"/>
      <c r="L23" s="424"/>
      <c r="M23" s="503"/>
      <c r="N23" s="503"/>
      <c r="O23" s="464"/>
      <c r="P23" s="453"/>
      <c r="Q23" s="453"/>
      <c r="R23" s="453"/>
      <c r="S23" s="453"/>
      <c r="T23" s="453"/>
    </row>
    <row r="24" spans="1:48" s="19" customFormat="1" x14ac:dyDescent="0.5">
      <c r="A24" s="538"/>
      <c r="B24" s="538"/>
      <c r="C24" s="538"/>
      <c r="D24" s="538"/>
      <c r="E24" s="539"/>
      <c r="F24" s="261"/>
      <c r="G24" s="423"/>
      <c r="H24" s="423"/>
      <c r="I24" s="423"/>
      <c r="J24" s="423"/>
      <c r="K24" s="424"/>
      <c r="L24" s="424"/>
      <c r="M24" s="503"/>
      <c r="N24" s="503"/>
      <c r="O24" s="464"/>
      <c r="P24" s="453"/>
      <c r="Q24" s="453"/>
      <c r="R24" s="453"/>
      <c r="S24" s="453"/>
      <c r="T24" s="453"/>
    </row>
    <row r="26" spans="1:48" s="81" customFormat="1" x14ac:dyDescent="0.5">
      <c r="A26" s="540"/>
      <c r="B26" s="540"/>
      <c r="C26" s="540"/>
      <c r="D26" s="540"/>
      <c r="F26" s="277"/>
      <c r="G26" s="125"/>
      <c r="H26" s="125"/>
      <c r="I26" s="125"/>
      <c r="J26" s="125"/>
      <c r="K26" s="541"/>
      <c r="L26" s="541"/>
      <c r="M26" s="505"/>
      <c r="N26" s="505"/>
      <c r="O26" s="525"/>
      <c r="P26" s="452"/>
      <c r="Q26" s="452"/>
      <c r="R26" s="452"/>
      <c r="S26" s="452"/>
      <c r="T26" s="452"/>
      <c r="U26" s="542"/>
      <c r="V26" s="542"/>
      <c r="W26" s="542"/>
      <c r="X26" s="542"/>
      <c r="Y26" s="542"/>
      <c r="Z26" s="542"/>
      <c r="AA26" s="542"/>
      <c r="AB26" s="542"/>
      <c r="AC26" s="542"/>
      <c r="AD26" s="542"/>
      <c r="AE26" s="542"/>
      <c r="AF26" s="542"/>
      <c r="AG26" s="542"/>
      <c r="AH26" s="542"/>
      <c r="AI26" s="542"/>
      <c r="AJ26" s="542"/>
      <c r="AK26" s="542"/>
      <c r="AL26" s="542"/>
      <c r="AM26" s="542"/>
      <c r="AN26" s="542"/>
      <c r="AO26" s="542"/>
      <c r="AP26" s="542"/>
      <c r="AQ26" s="542"/>
      <c r="AR26" s="542"/>
      <c r="AS26" s="542"/>
      <c r="AT26" s="542"/>
      <c r="AU26" s="542"/>
      <c r="AV26" s="542"/>
    </row>
    <row r="27" spans="1:48" s="81" customFormat="1" x14ac:dyDescent="0.5">
      <c r="A27" s="540"/>
      <c r="B27" s="540"/>
      <c r="C27" s="540"/>
      <c r="D27" s="540"/>
      <c r="F27" s="277"/>
      <c r="G27" s="125"/>
      <c r="H27" s="125"/>
      <c r="I27" s="125"/>
      <c r="J27" s="125"/>
      <c r="K27" s="541"/>
      <c r="L27" s="541"/>
      <c r="M27" s="505"/>
      <c r="N27" s="505"/>
      <c r="O27" s="525"/>
      <c r="P27" s="452"/>
      <c r="Q27" s="452"/>
      <c r="R27" s="452"/>
      <c r="S27" s="452"/>
      <c r="T27" s="452"/>
      <c r="U27" s="542"/>
      <c r="V27" s="542"/>
      <c r="W27" s="542"/>
      <c r="X27" s="542"/>
      <c r="Y27" s="542"/>
      <c r="Z27" s="542"/>
      <c r="AA27" s="542"/>
      <c r="AB27" s="542"/>
      <c r="AC27" s="542"/>
      <c r="AD27" s="542"/>
      <c r="AE27" s="542"/>
      <c r="AF27" s="542"/>
      <c r="AG27" s="542"/>
      <c r="AH27" s="542"/>
      <c r="AI27" s="542"/>
      <c r="AJ27" s="542"/>
      <c r="AK27" s="542"/>
      <c r="AL27" s="542"/>
      <c r="AM27" s="542"/>
      <c r="AN27" s="542"/>
      <c r="AO27" s="542"/>
      <c r="AP27" s="542"/>
      <c r="AQ27" s="542"/>
      <c r="AR27" s="542"/>
      <c r="AS27" s="542"/>
      <c r="AT27" s="542"/>
      <c r="AU27" s="542"/>
      <c r="AV27" s="542"/>
    </row>
    <row r="28" spans="1:48" s="81" customFormat="1" x14ac:dyDescent="0.5">
      <c r="A28" s="540"/>
      <c r="B28" s="540"/>
      <c r="C28" s="540"/>
      <c r="D28" s="540"/>
      <c r="F28" s="277"/>
      <c r="G28" s="125"/>
      <c r="H28" s="125"/>
      <c r="I28" s="125"/>
      <c r="J28" s="125"/>
      <c r="K28" s="541"/>
      <c r="L28" s="541"/>
      <c r="M28" s="505"/>
      <c r="N28" s="505"/>
      <c r="O28" s="525"/>
      <c r="P28" s="452"/>
      <c r="Q28" s="452"/>
      <c r="R28" s="452"/>
      <c r="S28" s="452"/>
      <c r="T28" s="452"/>
      <c r="U28" s="542"/>
      <c r="V28" s="542"/>
      <c r="W28" s="542"/>
      <c r="X28" s="542"/>
      <c r="Y28" s="542"/>
      <c r="Z28" s="542"/>
      <c r="AA28" s="542"/>
      <c r="AB28" s="542"/>
      <c r="AC28" s="542"/>
      <c r="AD28" s="542"/>
      <c r="AE28" s="542"/>
      <c r="AF28" s="542"/>
      <c r="AG28" s="542"/>
      <c r="AH28" s="542"/>
      <c r="AI28" s="542"/>
      <c r="AJ28" s="542"/>
      <c r="AK28" s="542"/>
      <c r="AL28" s="542"/>
      <c r="AM28" s="542"/>
      <c r="AN28" s="542"/>
      <c r="AO28" s="542"/>
      <c r="AP28" s="542"/>
      <c r="AQ28" s="542"/>
      <c r="AR28" s="542"/>
      <c r="AS28" s="542"/>
      <c r="AT28" s="542"/>
      <c r="AU28" s="542"/>
      <c r="AV28" s="542"/>
    </row>
    <row r="29" spans="1:48" s="81" customFormat="1" x14ac:dyDescent="0.5">
      <c r="A29" s="540"/>
      <c r="B29" s="540"/>
      <c r="C29" s="540"/>
      <c r="D29" s="540"/>
      <c r="F29" s="277"/>
      <c r="G29" s="125"/>
      <c r="H29" s="125"/>
      <c r="I29" s="125"/>
      <c r="J29" s="125"/>
      <c r="K29" s="541"/>
      <c r="L29" s="541"/>
      <c r="M29" s="505"/>
      <c r="N29" s="505"/>
      <c r="O29" s="525"/>
      <c r="P29" s="452"/>
      <c r="Q29" s="452"/>
      <c r="R29" s="452"/>
      <c r="S29" s="452"/>
      <c r="T29" s="452"/>
      <c r="U29" s="542"/>
      <c r="V29" s="542"/>
      <c r="W29" s="542"/>
      <c r="X29" s="542"/>
      <c r="Y29" s="542"/>
      <c r="Z29" s="542"/>
      <c r="AA29" s="542"/>
      <c r="AB29" s="542"/>
      <c r="AC29" s="542"/>
      <c r="AD29" s="542"/>
      <c r="AE29" s="542"/>
      <c r="AF29" s="542"/>
      <c r="AG29" s="542"/>
      <c r="AH29" s="542"/>
      <c r="AI29" s="542"/>
      <c r="AJ29" s="542"/>
      <c r="AK29" s="542"/>
      <c r="AL29" s="542"/>
      <c r="AM29" s="542"/>
      <c r="AN29" s="542"/>
      <c r="AO29" s="542"/>
      <c r="AP29" s="542"/>
      <c r="AQ29" s="542"/>
      <c r="AR29" s="542"/>
      <c r="AS29" s="542"/>
      <c r="AT29" s="542"/>
      <c r="AU29" s="542"/>
      <c r="AV29" s="542"/>
    </row>
  </sheetData>
  <autoFilter ref="O1:O29"/>
  <mergeCells count="21">
    <mergeCell ref="A1:N1"/>
    <mergeCell ref="A2:N2"/>
    <mergeCell ref="A3:N3"/>
    <mergeCell ref="C5:C8"/>
    <mergeCell ref="G6:G8"/>
    <mergeCell ref="E5:E8"/>
    <mergeCell ref="I5:I8"/>
    <mergeCell ref="H6:H8"/>
    <mergeCell ref="A5:A8"/>
    <mergeCell ref="B5:B8"/>
    <mergeCell ref="D5:D8"/>
    <mergeCell ref="K5:K8"/>
    <mergeCell ref="L5:L8"/>
    <mergeCell ref="F5:H5"/>
    <mergeCell ref="Q5:Q8"/>
    <mergeCell ref="R5:R8"/>
    <mergeCell ref="F4:G4"/>
    <mergeCell ref="F6:F8"/>
    <mergeCell ref="J5:J8"/>
    <mergeCell ref="M5:M8"/>
    <mergeCell ref="N5:N8"/>
  </mergeCells>
  <phoneticPr fontId="2" type="noConversion"/>
  <conditionalFormatting sqref="F18:F19 F11">
    <cfRule type="cellIs" dxfId="104" priority="2" stopIfTrue="1" operator="between">
      <formula>2000001</formula>
      <formula>500000000</formula>
    </cfRule>
  </conditionalFormatting>
  <conditionalFormatting sqref="F12:F14">
    <cfRule type="cellIs" dxfId="103" priority="1" stopIfTrue="1" operator="between">
      <formula>2000001</formula>
      <formula>500000000</formula>
    </cfRule>
  </conditionalFormatting>
  <pageMargins left="0.62992125984251968" right="0.74803149606299213" top="0.35433070866141736" bottom="0.55118110236220474" header="0.23622047244094491" footer="0.39370078740157483"/>
  <pageSetup paperSize="9" scale="90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topLeftCell="A4" zoomScaleNormal="100" zoomScaleSheetLayoutView="100" workbookViewId="0">
      <selection activeCell="A11" sqref="A11:XFD11"/>
    </sheetView>
  </sheetViews>
  <sheetFormatPr defaultRowHeight="21.75" x14ac:dyDescent="0.5"/>
  <cols>
    <col min="1" max="1" width="5.85546875" style="3" customWidth="1"/>
    <col min="2" max="2" width="6.140625" style="3" customWidth="1"/>
    <col min="3" max="3" width="6.5703125" style="3" customWidth="1"/>
    <col min="4" max="4" width="7.28515625" style="3" customWidth="1"/>
    <col min="5" max="5" width="42.140625" style="1" customWidth="1"/>
    <col min="6" max="6" width="14.140625" style="264" customWidth="1"/>
    <col min="7" max="7" width="14.42578125" style="106" customWidth="1"/>
    <col min="8" max="8" width="14.42578125" style="106" hidden="1" customWidth="1"/>
    <col min="9" max="9" width="27.5703125" style="106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3" width="27.5703125" style="106" customWidth="1"/>
    <col min="14" max="14" width="5.7109375" style="473" customWidth="1"/>
    <col min="15" max="15" width="19.5703125" style="434" bestFit="1" customWidth="1"/>
    <col min="16" max="16" width="9.140625" style="434"/>
    <col min="17" max="17" width="12.42578125" style="434" bestFit="1" customWidth="1"/>
    <col min="18" max="19" width="9.140625" style="434"/>
    <col min="20" max="27" width="9.140625" style="2"/>
    <col min="28" max="16384" width="9.140625" style="1"/>
  </cols>
  <sheetData>
    <row r="1" spans="1:38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478"/>
      <c r="Q1" s="434" t="s">
        <v>524</v>
      </c>
      <c r="S1" s="434" t="s">
        <v>202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478"/>
      <c r="O2" s="435" t="s">
        <v>522</v>
      </c>
      <c r="P2" s="434">
        <v>3</v>
      </c>
      <c r="Q2" s="436">
        <f>SUM(F11:F11)</f>
        <v>0</v>
      </c>
      <c r="R2" s="436" t="s">
        <v>209</v>
      </c>
      <c r="S2" s="434" t="s">
        <v>209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5">
      <c r="A3" s="775" t="s">
        <v>539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478"/>
      <c r="O3" s="437" t="s">
        <v>523</v>
      </c>
      <c r="P3" s="438" t="s">
        <v>209</v>
      </c>
      <c r="Q3" s="439" t="s">
        <v>209</v>
      </c>
      <c r="R3" s="440" t="s">
        <v>209</v>
      </c>
      <c r="S3" s="439" t="s">
        <v>209</v>
      </c>
      <c r="T3" s="1"/>
      <c r="U3" s="1"/>
      <c r="V3" s="1"/>
      <c r="W3" s="1"/>
      <c r="X3" s="1"/>
      <c r="Y3" s="1"/>
      <c r="Z3" s="1"/>
      <c r="AA3" s="1"/>
    </row>
    <row r="4" spans="1:38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O4" s="434" t="s">
        <v>536</v>
      </c>
      <c r="P4" s="442" t="s">
        <v>209</v>
      </c>
      <c r="Q4" s="442" t="s">
        <v>209</v>
      </c>
      <c r="R4" s="434" t="s">
        <v>209</v>
      </c>
      <c r="S4" s="434" t="s">
        <v>209</v>
      </c>
    </row>
    <row r="5" spans="1:38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474"/>
      <c r="P5" s="788" t="s">
        <v>142</v>
      </c>
      <c r="Q5" s="788" t="s">
        <v>150</v>
      </c>
    </row>
    <row r="6" spans="1:38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474"/>
      <c r="P6" s="788"/>
      <c r="Q6" s="788"/>
    </row>
    <row r="7" spans="1:38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474"/>
      <c r="P7" s="788"/>
      <c r="Q7" s="788"/>
    </row>
    <row r="8" spans="1:38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474"/>
      <c r="P8" s="788"/>
      <c r="Q8" s="788"/>
    </row>
    <row r="9" spans="1:38" x14ac:dyDescent="0.5">
      <c r="A9" s="12"/>
      <c r="B9" s="12"/>
      <c r="C9" s="12"/>
      <c r="D9" s="12"/>
      <c r="E9" s="32" t="s">
        <v>44</v>
      </c>
      <c r="F9" s="256"/>
      <c r="G9" s="105"/>
      <c r="H9" s="105"/>
      <c r="I9" s="105"/>
      <c r="J9" s="105"/>
      <c r="K9" s="189"/>
      <c r="L9" s="189"/>
      <c r="M9" s="105"/>
    </row>
    <row r="10" spans="1:38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446"/>
      <c r="O10" s="437"/>
      <c r="P10" s="437"/>
      <c r="Q10" s="437"/>
      <c r="R10" s="437"/>
      <c r="S10" s="437"/>
    </row>
    <row r="11" spans="1:38" s="9" customFormat="1" x14ac:dyDescent="0.2">
      <c r="A11" s="271"/>
      <c r="B11" s="271"/>
      <c r="C11" s="371"/>
      <c r="D11" s="271"/>
      <c r="E11" s="361"/>
      <c r="F11" s="367"/>
      <c r="G11" s="11"/>
      <c r="H11" s="11"/>
      <c r="I11" s="270"/>
      <c r="J11" s="11"/>
      <c r="K11" s="10"/>
      <c r="L11" s="10"/>
      <c r="M11" s="270"/>
      <c r="N11" s="445"/>
      <c r="O11" s="437"/>
      <c r="P11" s="437"/>
      <c r="Q11" s="437"/>
      <c r="R11" s="437"/>
      <c r="S11" s="437"/>
    </row>
    <row r="12" spans="1:38" s="9" customFormat="1" x14ac:dyDescent="0.2">
      <c r="A12" s="6"/>
      <c r="B12" s="13"/>
      <c r="C12" s="13"/>
      <c r="D12" s="13"/>
      <c r="E12" s="7"/>
      <c r="F12" s="257"/>
      <c r="G12" s="11"/>
      <c r="H12" s="11"/>
      <c r="I12" s="11"/>
      <c r="J12" s="11"/>
      <c r="K12" s="10"/>
      <c r="L12" s="10"/>
      <c r="M12" s="11"/>
      <c r="N12" s="446"/>
      <c r="O12" s="437"/>
      <c r="P12" s="437"/>
      <c r="Q12" s="437"/>
      <c r="R12" s="437"/>
      <c r="S12" s="437"/>
    </row>
    <row r="13" spans="1:38" s="14" customFormat="1" ht="22.5" thickBot="1" x14ac:dyDescent="0.55000000000000004">
      <c r="A13" s="241">
        <f>+A11</f>
        <v>0</v>
      </c>
      <c r="B13" s="241"/>
      <c r="C13" s="241"/>
      <c r="D13" s="241"/>
      <c r="E13" s="242" t="s">
        <v>47</v>
      </c>
      <c r="F13" s="258">
        <f>SUM(F11:F12)</f>
        <v>0</v>
      </c>
      <c r="G13" s="258">
        <f>SUM(G12:G12)</f>
        <v>0</v>
      </c>
      <c r="H13" s="258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475"/>
      <c r="O13" s="450">
        <f>+F13+G13</f>
        <v>0</v>
      </c>
      <c r="P13" s="451"/>
      <c r="Q13" s="451"/>
      <c r="R13" s="452"/>
      <c r="S13" s="452"/>
    </row>
    <row r="14" spans="1:38" s="19" customFormat="1" ht="22.5" hidden="1" thickBot="1" x14ac:dyDescent="0.25">
      <c r="A14" s="17"/>
      <c r="B14" s="17"/>
      <c r="C14" s="17"/>
      <c r="D14" s="17"/>
      <c r="E14" s="30" t="s">
        <v>10</v>
      </c>
      <c r="F14" s="34"/>
      <c r="G14" s="34"/>
      <c r="H14" s="34"/>
      <c r="I14" s="34"/>
      <c r="J14" s="34"/>
      <c r="K14" s="18"/>
      <c r="L14" s="18"/>
      <c r="M14" s="34"/>
      <c r="N14" s="476"/>
      <c r="O14" s="453"/>
      <c r="P14" s="453"/>
      <c r="Q14" s="453"/>
      <c r="R14" s="453"/>
      <c r="S14" s="453"/>
    </row>
    <row r="15" spans="1:38" s="19" customFormat="1" ht="22.5" hidden="1" thickBot="1" x14ac:dyDescent="0.25">
      <c r="A15" s="17"/>
      <c r="B15" s="17"/>
      <c r="C15" s="17"/>
      <c r="D15" s="17"/>
      <c r="E15" s="30"/>
      <c r="F15" s="34"/>
      <c r="G15" s="34"/>
      <c r="H15" s="34"/>
      <c r="I15" s="34"/>
      <c r="J15" s="34"/>
      <c r="K15" s="18"/>
      <c r="L15" s="18"/>
      <c r="M15" s="34"/>
      <c r="N15" s="476"/>
      <c r="O15" s="453"/>
      <c r="P15" s="453"/>
      <c r="Q15" s="453"/>
      <c r="R15" s="453"/>
      <c r="S15" s="453"/>
    </row>
    <row r="16" spans="1:38" s="9" customFormat="1" ht="22.5" hidden="1" thickBot="1" x14ac:dyDescent="0.25">
      <c r="A16" s="6"/>
      <c r="B16" s="6"/>
      <c r="C16" s="6"/>
      <c r="D16" s="6"/>
      <c r="E16" s="7"/>
      <c r="F16" s="10"/>
      <c r="G16" s="11"/>
      <c r="H16" s="11"/>
      <c r="I16" s="11"/>
      <c r="J16" s="11"/>
      <c r="K16" s="10"/>
      <c r="L16" s="10"/>
      <c r="M16" s="11"/>
      <c r="N16" s="446"/>
      <c r="O16" s="437"/>
      <c r="P16" s="437"/>
      <c r="Q16" s="437"/>
      <c r="R16" s="437"/>
      <c r="S16" s="437"/>
    </row>
    <row r="17" spans="1:46" s="19" customFormat="1" ht="22.5" hidden="1" thickBot="1" x14ac:dyDescent="0.55000000000000004">
      <c r="A17" s="244"/>
      <c r="B17" s="244"/>
      <c r="C17" s="244"/>
      <c r="D17" s="244"/>
      <c r="E17" s="245" t="s">
        <v>33</v>
      </c>
      <c r="F17" s="259">
        <f>SUM(F15:F16)</f>
        <v>0</v>
      </c>
      <c r="G17" s="259">
        <f>SUM(G15:G16)</f>
        <v>0</v>
      </c>
      <c r="H17" s="259">
        <f>SUM(H15:H16)</f>
        <v>0</v>
      </c>
      <c r="I17" s="259"/>
      <c r="J17" s="259">
        <f>SUM(J15:J16)</f>
        <v>0</v>
      </c>
      <c r="K17" s="259">
        <f>SUM(K15:K16)</f>
        <v>0</v>
      </c>
      <c r="L17" s="259">
        <f>SUM(L15:L16)</f>
        <v>0</v>
      </c>
      <c r="M17" s="259"/>
      <c r="N17" s="474"/>
      <c r="O17" s="455">
        <f>+F17+G17</f>
        <v>0</v>
      </c>
      <c r="P17" s="451"/>
      <c r="Q17" s="451"/>
      <c r="R17" s="453"/>
      <c r="S17" s="453"/>
    </row>
    <row r="18" spans="1:46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165</v>
      </c>
      <c r="F18" s="260">
        <f>F13+F17</f>
        <v>0</v>
      </c>
      <c r="G18" s="249">
        <f>+G13+G17</f>
        <v>0</v>
      </c>
      <c r="H18" s="249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477"/>
      <c r="O18" s="436">
        <f>+O13+O17</f>
        <v>0</v>
      </c>
      <c r="P18" s="457"/>
      <c r="Q18" s="457"/>
      <c r="R18" s="434"/>
      <c r="S18" s="434"/>
      <c r="T18" s="2"/>
      <c r="U18" s="2"/>
      <c r="V18" s="2"/>
      <c r="W18" s="2"/>
      <c r="X18" s="2"/>
      <c r="Y18" s="2"/>
      <c r="Z18" s="2"/>
      <c r="AA18" s="2"/>
    </row>
    <row r="19" spans="1:46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446"/>
      <c r="O19" s="437"/>
      <c r="P19" s="437"/>
      <c r="Q19" s="437"/>
      <c r="R19" s="437"/>
      <c r="S19" s="437"/>
    </row>
    <row r="20" spans="1:46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446"/>
      <c r="O20" s="437"/>
      <c r="P20" s="437"/>
      <c r="Q20" s="437"/>
      <c r="R20" s="437"/>
      <c r="S20" s="437"/>
    </row>
    <row r="21" spans="1:46" s="289" customFormat="1" x14ac:dyDescent="0.5">
      <c r="A21" s="288"/>
      <c r="B21" s="288"/>
      <c r="C21" s="288"/>
      <c r="D21" s="288"/>
      <c r="F21" s="290"/>
      <c r="G21" s="291"/>
      <c r="H21" s="291"/>
      <c r="I21" s="291"/>
      <c r="J21" s="291"/>
      <c r="K21" s="292"/>
      <c r="L21" s="292"/>
      <c r="M21" s="291"/>
      <c r="N21" s="473"/>
      <c r="O21" s="434"/>
      <c r="P21" s="434"/>
      <c r="Q21" s="434"/>
      <c r="R21" s="434"/>
      <c r="S21" s="434"/>
      <c r="T21" s="293"/>
      <c r="U21" s="293"/>
      <c r="V21" s="293"/>
      <c r="W21" s="293"/>
      <c r="X21" s="293"/>
      <c r="Y21" s="293"/>
      <c r="Z21" s="293"/>
      <c r="AA21" s="293"/>
    </row>
    <row r="22" spans="1:46" s="289" customFormat="1" hidden="1" x14ac:dyDescent="0.5">
      <c r="A22" s="288"/>
      <c r="B22" s="288"/>
      <c r="C22" s="288"/>
      <c r="D22" s="288"/>
      <c r="E22" s="294" t="s">
        <v>99</v>
      </c>
      <c r="F22" s="295"/>
      <c r="G22" s="296"/>
      <c r="H22" s="296"/>
      <c r="I22" s="296"/>
      <c r="J22" s="296"/>
      <c r="K22" s="292"/>
      <c r="L22" s="292"/>
      <c r="M22" s="296"/>
      <c r="N22" s="473"/>
      <c r="O22" s="434"/>
      <c r="P22" s="434"/>
      <c r="Q22" s="434"/>
      <c r="R22" s="434"/>
      <c r="S22" s="434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</row>
    <row r="23" spans="1:46" s="289" customFormat="1" hidden="1" x14ac:dyDescent="0.5">
      <c r="A23" s="288"/>
      <c r="B23" s="288"/>
      <c r="C23" s="288"/>
      <c r="D23" s="288"/>
      <c r="E23" s="289" t="s">
        <v>25</v>
      </c>
      <c r="F23" s="290"/>
      <c r="G23" s="291"/>
      <c r="H23" s="291"/>
      <c r="I23" s="291"/>
      <c r="J23" s="291"/>
      <c r="K23" s="292"/>
      <c r="L23" s="292"/>
      <c r="M23" s="291"/>
      <c r="N23" s="473"/>
      <c r="O23" s="434"/>
      <c r="P23" s="434"/>
      <c r="Q23" s="434"/>
      <c r="R23" s="434"/>
      <c r="S23" s="434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</row>
    <row r="24" spans="1:46" s="289" customFormat="1" hidden="1" x14ac:dyDescent="0.5">
      <c r="A24" s="288"/>
      <c r="B24" s="288"/>
      <c r="C24" s="288"/>
      <c r="D24" s="288"/>
      <c r="E24" s="289" t="s">
        <v>98</v>
      </c>
      <c r="F24" s="290"/>
      <c r="G24" s="291"/>
      <c r="H24" s="291"/>
      <c r="I24" s="291"/>
      <c r="J24" s="291"/>
      <c r="K24" s="292"/>
      <c r="L24" s="292"/>
      <c r="M24" s="291"/>
      <c r="N24" s="473"/>
      <c r="O24" s="434"/>
      <c r="P24" s="434"/>
      <c r="Q24" s="434"/>
      <c r="R24" s="434"/>
      <c r="S24" s="434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</row>
    <row r="25" spans="1:46" s="289" customFormat="1" hidden="1" x14ac:dyDescent="0.5">
      <c r="A25" s="288"/>
      <c r="B25" s="288"/>
      <c r="C25" s="288"/>
      <c r="D25" s="288"/>
      <c r="E25" s="289" t="s">
        <v>18</v>
      </c>
      <c r="F25" s="290"/>
      <c r="G25" s="291"/>
      <c r="H25" s="291"/>
      <c r="I25" s="291"/>
      <c r="J25" s="291"/>
      <c r="K25" s="292"/>
      <c r="L25" s="292"/>
      <c r="M25" s="291"/>
      <c r="N25" s="473"/>
      <c r="O25" s="434"/>
      <c r="P25" s="434"/>
      <c r="Q25" s="434"/>
      <c r="R25" s="434"/>
      <c r="S25" s="434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</row>
  </sheetData>
  <autoFilter ref="N1:N25"/>
  <mergeCells count="20">
    <mergeCell ref="B5:B8"/>
    <mergeCell ref="D5:D8"/>
    <mergeCell ref="E5:E8"/>
    <mergeCell ref="A1:M1"/>
    <mergeCell ref="A2:M2"/>
    <mergeCell ref="A3:M3"/>
    <mergeCell ref="A5:A8"/>
    <mergeCell ref="Q5:Q8"/>
    <mergeCell ref="F6:F8"/>
    <mergeCell ref="G6:G8"/>
    <mergeCell ref="C5:C8"/>
    <mergeCell ref="F4:G4"/>
    <mergeCell ref="P5:P8"/>
    <mergeCell ref="I5:I8"/>
    <mergeCell ref="F5:H5"/>
    <mergeCell ref="H6:H8"/>
    <mergeCell ref="M5:M8"/>
    <mergeCell ref="K5:K8"/>
    <mergeCell ref="L5:L8"/>
    <mergeCell ref="J5:J8"/>
  </mergeCells>
  <pageMargins left="0.70866141732283472" right="0.70866141732283472" top="0.59055118110236227" bottom="0.19685039370078741" header="0.31496062992125984" footer="0.31496062992125984"/>
  <pageSetup paperSize="9" scale="85" orientation="landscape" blackAndWhite="1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G9" sqref="G9"/>
    </sheetView>
  </sheetViews>
  <sheetFormatPr defaultRowHeight="24" x14ac:dyDescent="0.55000000000000004"/>
  <cols>
    <col min="1" max="1" width="25.7109375" style="38" customWidth="1"/>
    <col min="2" max="2" width="8.7109375" style="38" customWidth="1"/>
    <col min="3" max="3" width="21.5703125" style="38" customWidth="1"/>
    <col min="4" max="4" width="9.140625" style="38" customWidth="1"/>
    <col min="5" max="5" width="9.140625" style="37"/>
    <col min="6" max="6" width="27.28515625" style="38" customWidth="1"/>
    <col min="7" max="7" width="9.140625" style="38" customWidth="1"/>
    <col min="8" max="8" width="9.140625" style="38"/>
    <col min="9" max="9" width="35.5703125" style="37" bestFit="1" customWidth="1"/>
    <col min="10" max="16384" width="9.140625" style="38"/>
  </cols>
  <sheetData>
    <row r="1" spans="1:9" s="71" customFormat="1" ht="27.75" x14ac:dyDescent="0.65">
      <c r="E1" s="72"/>
      <c r="I1" s="72"/>
    </row>
    <row r="2" spans="1:9" x14ac:dyDescent="0.55000000000000004">
      <c r="A2" s="798" t="s">
        <v>48</v>
      </c>
      <c r="B2" s="798"/>
      <c r="C2" s="798"/>
      <c r="D2" s="798"/>
    </row>
    <row r="3" spans="1:9" s="40" customFormat="1" x14ac:dyDescent="0.55000000000000004">
      <c r="A3" s="798" t="s">
        <v>203</v>
      </c>
      <c r="B3" s="798"/>
      <c r="C3" s="798"/>
      <c r="D3" s="798"/>
      <c r="E3" s="39"/>
      <c r="I3" s="39"/>
    </row>
    <row r="4" spans="1:9" s="40" customFormat="1" x14ac:dyDescent="0.55000000000000004">
      <c r="A4" s="798" t="s">
        <v>155</v>
      </c>
      <c r="B4" s="798"/>
      <c r="C4" s="798"/>
      <c r="D4" s="798"/>
      <c r="E4" s="39"/>
      <c r="I4" s="39"/>
    </row>
    <row r="6" spans="1:9" x14ac:dyDescent="0.55000000000000004">
      <c r="A6" s="799" t="s">
        <v>29</v>
      </c>
      <c r="B6" s="801" t="s">
        <v>156</v>
      </c>
      <c r="C6" s="802"/>
      <c r="D6" s="803"/>
    </row>
    <row r="7" spans="1:9" ht="48" x14ac:dyDescent="0.55000000000000004">
      <c r="A7" s="800"/>
      <c r="B7" s="73" t="s">
        <v>49</v>
      </c>
      <c r="C7" s="74" t="s">
        <v>95</v>
      </c>
      <c r="D7" s="73" t="s">
        <v>96</v>
      </c>
      <c r="F7" s="80"/>
    </row>
    <row r="8" spans="1:9" ht="24.75" thickBot="1" x14ac:dyDescent="0.6">
      <c r="A8" s="75" t="s">
        <v>97</v>
      </c>
      <c r="B8" s="76" t="e">
        <f>+B9+B12</f>
        <v>#REF!</v>
      </c>
      <c r="C8" s="77" t="e">
        <f>+C9+C12</f>
        <v>#REF!</v>
      </c>
      <c r="D8" s="77" t="e">
        <f>+D9+D12</f>
        <v>#REF!</v>
      </c>
      <c r="F8" s="87"/>
    </row>
    <row r="9" spans="1:9" ht="24.75" thickTop="1" x14ac:dyDescent="0.55000000000000004">
      <c r="A9" s="78" t="s">
        <v>25</v>
      </c>
      <c r="B9" s="86" t="e">
        <f>+B10+B11</f>
        <v>#REF!</v>
      </c>
      <c r="C9" s="79" t="e">
        <f>+C10+C11</f>
        <v>#REF!</v>
      </c>
      <c r="D9" s="85" t="e">
        <f>+C9*100/C8</f>
        <v>#REF!</v>
      </c>
      <c r="F9" s="80"/>
    </row>
    <row r="10" spans="1:9" x14ac:dyDescent="0.55000000000000004">
      <c r="A10" s="78" t="s">
        <v>124</v>
      </c>
      <c r="B10" s="86">
        <f>+Sheet2!F44</f>
        <v>0</v>
      </c>
      <c r="C10" s="79" t="e">
        <f>+Sheet2!E44</f>
        <v>#REF!</v>
      </c>
      <c r="D10" s="267"/>
      <c r="F10" s="80"/>
    </row>
    <row r="11" spans="1:9" x14ac:dyDescent="0.55000000000000004">
      <c r="A11" s="78" t="s">
        <v>125</v>
      </c>
      <c r="B11" s="86" t="e">
        <f>+Sheet2!N44</f>
        <v>#REF!</v>
      </c>
      <c r="C11" s="79" t="e">
        <f>+Sheet2!M44</f>
        <v>#REF!</v>
      </c>
      <c r="D11" s="85"/>
      <c r="F11" s="80"/>
    </row>
    <row r="12" spans="1:9" x14ac:dyDescent="0.55000000000000004">
      <c r="A12" s="78" t="s">
        <v>98</v>
      </c>
      <c r="B12" s="86" t="e">
        <f>+B13+B14</f>
        <v>#REF!</v>
      </c>
      <c r="C12" s="79" t="e">
        <f>+C13+C14</f>
        <v>#REF!</v>
      </c>
      <c r="D12" s="85" t="e">
        <f>+C12*100/C8</f>
        <v>#REF!</v>
      </c>
      <c r="F12" s="87"/>
    </row>
    <row r="13" spans="1:9" x14ac:dyDescent="0.55000000000000004">
      <c r="A13" s="78" t="s">
        <v>124</v>
      </c>
      <c r="B13" s="86">
        <f>+Sheet2!H44</f>
        <v>178</v>
      </c>
      <c r="C13" s="79" t="e">
        <f>+Sheet2!G44</f>
        <v>#REF!</v>
      </c>
      <c r="D13" s="85" t="e">
        <f>+C13*100/C12</f>
        <v>#REF!</v>
      </c>
      <c r="F13" s="80"/>
    </row>
    <row r="14" spans="1:9" x14ac:dyDescent="0.55000000000000004">
      <c r="A14" s="78" t="s">
        <v>125</v>
      </c>
      <c r="B14" s="86" t="e">
        <f>+Sheet2!P44</f>
        <v>#REF!</v>
      </c>
      <c r="C14" s="126" t="e">
        <f>+Sheet2!O44</f>
        <v>#REF!</v>
      </c>
      <c r="D14" s="85" t="e">
        <f>+C14*100/C12</f>
        <v>#REF!</v>
      </c>
      <c r="F14" s="80"/>
    </row>
    <row r="15" spans="1:9" x14ac:dyDescent="0.55000000000000004">
      <c r="A15" s="92" t="s">
        <v>18</v>
      </c>
      <c r="B15" s="96" t="e">
        <f>+Sheet2!Z44</f>
        <v>#REF!</v>
      </c>
      <c r="C15" s="94" t="e">
        <f>+Sheet2!Y44</f>
        <v>#REF!</v>
      </c>
      <c r="D15" s="97" t="e">
        <f>+C15*100/C8</f>
        <v>#REF!</v>
      </c>
      <c r="F15" s="87"/>
    </row>
    <row r="16" spans="1:9" x14ac:dyDescent="0.55000000000000004">
      <c r="F16" s="87"/>
    </row>
    <row r="17" spans="1:9" x14ac:dyDescent="0.55000000000000004">
      <c r="B17" s="130"/>
      <c r="C17" s="87"/>
      <c r="F17" s="37"/>
    </row>
    <row r="18" spans="1:9" x14ac:dyDescent="0.55000000000000004">
      <c r="C18" s="87"/>
    </row>
    <row r="19" spans="1:9" x14ac:dyDescent="0.55000000000000004">
      <c r="A19" s="798" t="s">
        <v>100</v>
      </c>
      <c r="B19" s="798"/>
      <c r="C19" s="798"/>
      <c r="D19" s="798"/>
      <c r="E19" s="798"/>
      <c r="F19" s="798"/>
      <c r="G19" s="798"/>
    </row>
    <row r="20" spans="1:9" x14ac:dyDescent="0.55000000000000004">
      <c r="A20" s="798" t="s">
        <v>157</v>
      </c>
      <c r="B20" s="798"/>
      <c r="C20" s="798"/>
      <c r="D20" s="798"/>
      <c r="E20" s="798"/>
      <c r="F20" s="798"/>
      <c r="G20" s="798"/>
    </row>
    <row r="21" spans="1:9" ht="30.75" customHeight="1" x14ac:dyDescent="0.55000000000000004">
      <c r="A21" s="804"/>
      <c r="B21" s="804"/>
      <c r="C21" s="804"/>
      <c r="D21" s="804"/>
      <c r="E21" s="804"/>
      <c r="F21" s="804"/>
      <c r="G21" s="88"/>
    </row>
    <row r="22" spans="1:9" ht="47.25" customHeight="1" x14ac:dyDescent="0.55000000000000004">
      <c r="A22" s="799" t="s">
        <v>29</v>
      </c>
      <c r="B22" s="805" t="s">
        <v>101</v>
      </c>
      <c r="C22" s="806"/>
      <c r="D22" s="807"/>
      <c r="E22" s="805" t="s">
        <v>102</v>
      </c>
      <c r="F22" s="806"/>
      <c r="G22" s="807"/>
    </row>
    <row r="23" spans="1:9" s="88" customFormat="1" ht="48" x14ac:dyDescent="0.2">
      <c r="A23" s="800"/>
      <c r="B23" s="73" t="s">
        <v>49</v>
      </c>
      <c r="C23" s="74" t="s">
        <v>95</v>
      </c>
      <c r="D23" s="73" t="s">
        <v>96</v>
      </c>
      <c r="E23" s="89" t="s">
        <v>49</v>
      </c>
      <c r="F23" s="84" t="s">
        <v>95</v>
      </c>
      <c r="G23" s="73" t="s">
        <v>96</v>
      </c>
      <c r="I23" s="175"/>
    </row>
    <row r="24" spans="1:9" s="40" customFormat="1" ht="24.75" thickBot="1" x14ac:dyDescent="0.6">
      <c r="A24" s="75" t="s">
        <v>97</v>
      </c>
      <c r="B24" s="98"/>
      <c r="C24" s="77"/>
      <c r="D24" s="77"/>
      <c r="E24" s="98"/>
      <c r="F24" s="77"/>
      <c r="G24" s="90">
        <v>100</v>
      </c>
      <c r="I24" s="39"/>
    </row>
    <row r="25" spans="1:9" ht="24.75" thickTop="1" x14ac:dyDescent="0.55000000000000004">
      <c r="A25" s="78" t="s">
        <v>25</v>
      </c>
      <c r="B25" s="101"/>
      <c r="C25" s="79"/>
      <c r="D25" s="79"/>
      <c r="E25" s="99"/>
      <c r="F25" s="79"/>
      <c r="G25" s="91"/>
      <c r="H25" s="80"/>
    </row>
    <row r="26" spans="1:9" x14ac:dyDescent="0.55000000000000004">
      <c r="A26" s="78" t="s">
        <v>98</v>
      </c>
      <c r="B26" s="101"/>
      <c r="C26" s="79"/>
      <c r="D26" s="79"/>
      <c r="E26" s="99"/>
      <c r="F26" s="79"/>
      <c r="G26" s="91"/>
      <c r="H26" s="80"/>
    </row>
    <row r="27" spans="1:9" s="95" customFormat="1" x14ac:dyDescent="0.55000000000000004">
      <c r="A27" s="92" t="s">
        <v>18</v>
      </c>
      <c r="B27" s="93"/>
      <c r="C27" s="94"/>
      <c r="D27" s="94"/>
      <c r="E27" s="100"/>
      <c r="F27" s="94"/>
      <c r="G27" s="94"/>
      <c r="I27" s="236"/>
    </row>
  </sheetData>
  <mergeCells count="11">
    <mergeCell ref="A19:G19"/>
    <mergeCell ref="A20:G20"/>
    <mergeCell ref="A21:F21"/>
    <mergeCell ref="A22:A23"/>
    <mergeCell ref="B22:D22"/>
    <mergeCell ref="E22:G22"/>
    <mergeCell ref="A2:D2"/>
    <mergeCell ref="A3:D3"/>
    <mergeCell ref="A4:D4"/>
    <mergeCell ref="A6:A7"/>
    <mergeCell ref="B6:D6"/>
  </mergeCells>
  <printOptions horizontalCentered="1"/>
  <pageMargins left="0.43307086614173229" right="0.19685039370078741" top="0.74803149606299213" bottom="0.74803149606299213" header="0.31496062992125984" footer="0.31496062992125984"/>
  <pageSetup paperSize="9" orientation="portrait" r:id="rId1"/>
  <headerFooter>
    <oddHeader>&amp;L&amp;D &amp;T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48"/>
  <sheetViews>
    <sheetView zoomScaleNormal="100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A12" sqref="AA12"/>
    </sheetView>
  </sheetViews>
  <sheetFormatPr defaultRowHeight="24" x14ac:dyDescent="0.55000000000000004"/>
  <cols>
    <col min="1" max="1" width="4.85546875" style="131" customWidth="1"/>
    <col min="2" max="2" width="9" style="38" customWidth="1"/>
    <col min="3" max="3" width="19.7109375" style="37" customWidth="1"/>
    <col min="4" max="4" width="7.28515625" style="131" customWidth="1"/>
    <col min="5" max="5" width="19.28515625" style="149" customWidth="1"/>
    <col min="6" max="6" width="7.140625" style="164" customWidth="1"/>
    <col min="7" max="7" width="18.7109375" style="149" customWidth="1"/>
    <col min="8" max="8" width="8.28515625" style="131" customWidth="1"/>
    <col min="9" max="9" width="17.42578125" style="149" customWidth="1"/>
    <col min="10" max="10" width="7.42578125" style="131" customWidth="1"/>
    <col min="11" max="11" width="18.7109375" style="37" customWidth="1"/>
    <col min="12" max="12" width="7.7109375" style="131" customWidth="1"/>
    <col min="13" max="13" width="18.7109375" style="37" bestFit="1" customWidth="1"/>
    <col min="14" max="14" width="7.7109375" style="131" customWidth="1"/>
    <col min="15" max="15" width="18.7109375" style="149" customWidth="1"/>
    <col min="16" max="16" width="7.7109375" style="131" customWidth="1"/>
    <col min="17" max="17" width="16.7109375" style="37" customWidth="1"/>
    <col min="18" max="18" width="8.28515625" style="38" customWidth="1"/>
    <col min="19" max="19" width="18.140625" style="37" customWidth="1"/>
    <col min="20" max="20" width="6.7109375" style="131" customWidth="1"/>
    <col min="21" max="21" width="19" style="149" customWidth="1"/>
    <col min="22" max="22" width="8" style="131" customWidth="1"/>
    <col min="23" max="23" width="18.7109375" style="149" customWidth="1"/>
    <col min="24" max="24" width="7.42578125" style="131" customWidth="1"/>
    <col min="25" max="25" width="18.7109375" style="37" bestFit="1" customWidth="1"/>
    <col min="26" max="26" width="7.5703125" style="164" customWidth="1"/>
    <col min="27" max="27" width="15.28515625" style="38" customWidth="1"/>
    <col min="28" max="28" width="8.5703125" style="37" bestFit="1" customWidth="1"/>
    <col min="29" max="29" width="17.140625" style="38" customWidth="1"/>
    <col min="30" max="30" width="15.28515625" style="38" bestFit="1" customWidth="1"/>
    <col min="31" max="16384" width="9.140625" style="38"/>
  </cols>
  <sheetData>
    <row r="1" spans="1:30" s="40" customFormat="1" x14ac:dyDescent="0.55000000000000004">
      <c r="A1" s="165" t="s">
        <v>158</v>
      </c>
      <c r="C1" s="39"/>
      <c r="D1" s="157"/>
      <c r="E1" s="166"/>
      <c r="F1" s="167"/>
      <c r="G1" s="166"/>
      <c r="H1" s="157"/>
      <c r="I1" s="166"/>
      <c r="J1" s="157"/>
      <c r="K1" s="39"/>
      <c r="L1" s="157"/>
      <c r="M1" s="39"/>
      <c r="N1" s="157"/>
      <c r="O1" s="166"/>
      <c r="P1" s="157"/>
      <c r="Q1" s="39"/>
      <c r="S1" s="39"/>
      <c r="T1" s="157"/>
      <c r="U1" s="166"/>
      <c r="V1" s="157"/>
      <c r="W1" s="166"/>
      <c r="X1" s="157"/>
      <c r="Y1" s="39"/>
      <c r="Z1" s="167"/>
      <c r="AB1" s="39"/>
    </row>
    <row r="2" spans="1:30" x14ac:dyDescent="0.55000000000000004">
      <c r="A2" s="808" t="s">
        <v>159</v>
      </c>
      <c r="B2" s="808"/>
      <c r="C2" s="808"/>
      <c r="D2" s="808"/>
      <c r="E2" s="808"/>
    </row>
    <row r="3" spans="1:30" s="40" customFormat="1" x14ac:dyDescent="0.55000000000000004">
      <c r="A3" s="809" t="s">
        <v>127</v>
      </c>
      <c r="B3" s="799" t="s">
        <v>107</v>
      </c>
      <c r="C3" s="801" t="s">
        <v>37</v>
      </c>
      <c r="D3" s="802"/>
      <c r="E3" s="802"/>
      <c r="F3" s="802"/>
      <c r="G3" s="802"/>
      <c r="H3" s="802"/>
      <c r="I3" s="802"/>
      <c r="J3" s="803"/>
      <c r="K3" s="801" t="s">
        <v>10</v>
      </c>
      <c r="L3" s="802"/>
      <c r="M3" s="802"/>
      <c r="N3" s="802"/>
      <c r="O3" s="802"/>
      <c r="P3" s="802"/>
      <c r="Q3" s="802"/>
      <c r="R3" s="803"/>
      <c r="S3" s="801" t="s">
        <v>128</v>
      </c>
      <c r="T3" s="802"/>
      <c r="U3" s="802"/>
      <c r="V3" s="802"/>
      <c r="W3" s="802"/>
      <c r="X3" s="802"/>
      <c r="Y3" s="802"/>
      <c r="Z3" s="803"/>
      <c r="AB3" s="39"/>
    </row>
    <row r="4" spans="1:30" s="88" customFormat="1" ht="60.75" customHeight="1" x14ac:dyDescent="0.55000000000000004">
      <c r="A4" s="810"/>
      <c r="B4" s="800"/>
      <c r="C4" s="179" t="s">
        <v>108</v>
      </c>
      <c r="D4" s="193" t="s">
        <v>49</v>
      </c>
      <c r="E4" s="153" t="s">
        <v>25</v>
      </c>
      <c r="F4" s="154" t="s">
        <v>49</v>
      </c>
      <c r="G4" s="181" t="s">
        <v>140</v>
      </c>
      <c r="H4" s="27" t="s">
        <v>49</v>
      </c>
      <c r="I4" s="73" t="s">
        <v>18</v>
      </c>
      <c r="J4" s="27" t="s">
        <v>49</v>
      </c>
      <c r="K4" s="180" t="s">
        <v>108</v>
      </c>
      <c r="L4" s="152" t="s">
        <v>49</v>
      </c>
      <c r="M4" s="181" t="s">
        <v>25</v>
      </c>
      <c r="N4" s="152" t="s">
        <v>49</v>
      </c>
      <c r="O4" s="181" t="s">
        <v>140</v>
      </c>
      <c r="P4" s="185" t="s">
        <v>49</v>
      </c>
      <c r="Q4" s="182" t="s">
        <v>18</v>
      </c>
      <c r="R4" s="27" t="s">
        <v>49</v>
      </c>
      <c r="S4" s="183" t="s">
        <v>108</v>
      </c>
      <c r="T4" s="27" t="s">
        <v>49</v>
      </c>
      <c r="U4" s="153" t="s">
        <v>25</v>
      </c>
      <c r="V4" s="27" t="s">
        <v>49</v>
      </c>
      <c r="W4" s="181" t="s">
        <v>140</v>
      </c>
      <c r="X4" s="185" t="s">
        <v>49</v>
      </c>
      <c r="Y4" s="150" t="s">
        <v>18</v>
      </c>
      <c r="Z4" s="154" t="s">
        <v>49</v>
      </c>
      <c r="AB4" s="237" t="s">
        <v>96</v>
      </c>
    </row>
    <row r="5" spans="1:30" x14ac:dyDescent="0.55000000000000004">
      <c r="A5" s="109"/>
      <c r="B5" s="108" t="s">
        <v>32</v>
      </c>
      <c r="C5" s="133">
        <f>+ตร.!M16</f>
        <v>0</v>
      </c>
      <c r="D5" s="135">
        <f>+ตร.!A16</f>
        <v>0</v>
      </c>
      <c r="E5" s="136">
        <f>+ตร.!J16</f>
        <v>0</v>
      </c>
      <c r="F5" s="161">
        <f>+ตร.!N16</f>
        <v>0</v>
      </c>
      <c r="G5" s="136">
        <f t="shared" ref="G5:H8" si="0">+C5-E5</f>
        <v>0</v>
      </c>
      <c r="H5" s="135">
        <f t="shared" si="0"/>
        <v>0</v>
      </c>
      <c r="I5" s="136">
        <f>+ตร.!K16</f>
        <v>0</v>
      </c>
      <c r="J5" s="135">
        <f>+ตร.!O16</f>
        <v>0</v>
      </c>
      <c r="K5" s="133">
        <f>+ตร.!M21</f>
        <v>0</v>
      </c>
      <c r="L5" s="136">
        <f>+ตร.!A21</f>
        <v>0</v>
      </c>
      <c r="M5" s="133">
        <f>+ตร.!J21</f>
        <v>0</v>
      </c>
      <c r="N5" s="136">
        <f>+ตร.!N21</f>
        <v>0</v>
      </c>
      <c r="O5" s="136">
        <f t="shared" ref="O5:P8" si="1">+K5-M5</f>
        <v>0</v>
      </c>
      <c r="P5" s="136">
        <f t="shared" si="1"/>
        <v>0</v>
      </c>
      <c r="Q5" s="133">
        <f>+ตร.!K21</f>
        <v>0</v>
      </c>
      <c r="R5" s="110">
        <f>+ตร.!O21</f>
        <v>0</v>
      </c>
      <c r="S5" s="133">
        <f t="shared" ref="S5:V8" si="2">+C5+K5</f>
        <v>0</v>
      </c>
      <c r="T5" s="132">
        <f t="shared" si="2"/>
        <v>0</v>
      </c>
      <c r="U5" s="136">
        <f t="shared" si="2"/>
        <v>0</v>
      </c>
      <c r="V5" s="132">
        <f t="shared" si="2"/>
        <v>0</v>
      </c>
      <c r="W5" s="136">
        <f>+S5</f>
        <v>0</v>
      </c>
      <c r="X5" s="132"/>
      <c r="Y5" s="133">
        <f t="shared" ref="Y5:Z8" si="3">+I5+Q5</f>
        <v>0</v>
      </c>
      <c r="Z5" s="161">
        <f t="shared" si="3"/>
        <v>0</v>
      </c>
      <c r="AB5" s="37">
        <v>0</v>
      </c>
      <c r="AC5" s="80">
        <f>+S5-ตร.!M22</f>
        <v>0</v>
      </c>
    </row>
    <row r="6" spans="1:30" x14ac:dyDescent="0.55000000000000004">
      <c r="A6" s="109">
        <v>1</v>
      </c>
      <c r="B6" s="108" t="s">
        <v>39</v>
      </c>
      <c r="C6" s="133">
        <f>+สลก.ตร.!O14</f>
        <v>0</v>
      </c>
      <c r="D6" s="135">
        <f>+สลก.ตร.!A14</f>
        <v>0</v>
      </c>
      <c r="E6" s="136">
        <f>+สลก.ตร.!J14</f>
        <v>0</v>
      </c>
      <c r="F6" s="161">
        <f>+สลก.ตร.!P14</f>
        <v>0</v>
      </c>
      <c r="G6" s="136">
        <f t="shared" si="0"/>
        <v>0</v>
      </c>
      <c r="H6" s="135">
        <f t="shared" si="0"/>
        <v>0</v>
      </c>
      <c r="I6" s="136">
        <f>+สลก.ตร.!K14</f>
        <v>0</v>
      </c>
      <c r="J6" s="135">
        <f>+สลก.ตร.!Q14</f>
        <v>0</v>
      </c>
      <c r="K6" s="133">
        <f>+สลก.ตร.!O18</f>
        <v>0</v>
      </c>
      <c r="L6" s="136">
        <f>+สลก.ตร.!A18</f>
        <v>0</v>
      </c>
      <c r="M6" s="133">
        <f>+สลก.ตร.!J18</f>
        <v>0</v>
      </c>
      <c r="N6" s="136">
        <f>+สลก.ตร.!P18</f>
        <v>0</v>
      </c>
      <c r="O6" s="136">
        <f t="shared" si="1"/>
        <v>0</v>
      </c>
      <c r="P6" s="136">
        <f t="shared" si="1"/>
        <v>0</v>
      </c>
      <c r="Q6" s="133">
        <f>+สลก.ตร.!K18</f>
        <v>0</v>
      </c>
      <c r="R6" s="110">
        <f>+สลก.ตร.!Q18</f>
        <v>0</v>
      </c>
      <c r="S6" s="133">
        <f t="shared" si="2"/>
        <v>0</v>
      </c>
      <c r="T6" s="132">
        <f t="shared" si="2"/>
        <v>0</v>
      </c>
      <c r="U6" s="136">
        <f t="shared" si="2"/>
        <v>0</v>
      </c>
      <c r="V6" s="132">
        <f t="shared" si="2"/>
        <v>0</v>
      </c>
      <c r="W6" s="136">
        <f t="shared" ref="W6:X8" si="4">+G6+O6</f>
        <v>0</v>
      </c>
      <c r="X6" s="132">
        <f t="shared" si="4"/>
        <v>0</v>
      </c>
      <c r="Y6" s="133">
        <f t="shared" si="3"/>
        <v>0</v>
      </c>
      <c r="Z6" s="161">
        <f t="shared" si="3"/>
        <v>0</v>
      </c>
      <c r="AA6" s="130">
        <f>+S6-สลก.ตร.!O20</f>
        <v>0</v>
      </c>
      <c r="AB6" s="37" t="e">
        <f>+Y6*100/S6</f>
        <v>#DIV/0!</v>
      </c>
      <c r="AC6" s="80">
        <f>+S6-สลก.ตร.!O20</f>
        <v>0</v>
      </c>
      <c r="AD6" s="80">
        <f>+Y6-สลก.ตร.!K20</f>
        <v>0</v>
      </c>
    </row>
    <row r="7" spans="1:30" x14ac:dyDescent="0.55000000000000004">
      <c r="A7" s="109">
        <v>2</v>
      </c>
      <c r="B7" s="108" t="s">
        <v>42</v>
      </c>
      <c r="C7" s="133">
        <f>+ตท.!O16</f>
        <v>0</v>
      </c>
      <c r="D7" s="135">
        <f>+ตท.!A16</f>
        <v>0</v>
      </c>
      <c r="E7" s="136">
        <f>+ตท.!J16</f>
        <v>0</v>
      </c>
      <c r="F7" s="161">
        <f>+ตท.!P16</f>
        <v>0</v>
      </c>
      <c r="G7" s="136">
        <f t="shared" si="0"/>
        <v>0</v>
      </c>
      <c r="H7" s="135">
        <f t="shared" si="0"/>
        <v>0</v>
      </c>
      <c r="I7" s="136">
        <f>+ตท.!K16</f>
        <v>0</v>
      </c>
      <c r="J7" s="135">
        <f>+ตท.!Q16</f>
        <v>0</v>
      </c>
      <c r="K7" s="133">
        <f>+ตท.!O20</f>
        <v>0</v>
      </c>
      <c r="L7" s="136">
        <f>+ตท.!A20</f>
        <v>0</v>
      </c>
      <c r="M7" s="133">
        <f>+ตท.!J20</f>
        <v>0</v>
      </c>
      <c r="N7" s="136">
        <f>+ตท.!P20</f>
        <v>0</v>
      </c>
      <c r="O7" s="136">
        <f t="shared" si="1"/>
        <v>0</v>
      </c>
      <c r="P7" s="136">
        <f t="shared" si="1"/>
        <v>0</v>
      </c>
      <c r="Q7" s="133">
        <f>+ตท.!K20</f>
        <v>0</v>
      </c>
      <c r="R7" s="110">
        <f>+ตท.!Q20</f>
        <v>0</v>
      </c>
      <c r="S7" s="133">
        <f t="shared" si="2"/>
        <v>0</v>
      </c>
      <c r="T7" s="132">
        <f t="shared" si="2"/>
        <v>0</v>
      </c>
      <c r="U7" s="136">
        <f t="shared" si="2"/>
        <v>0</v>
      </c>
      <c r="V7" s="132">
        <f t="shared" si="2"/>
        <v>0</v>
      </c>
      <c r="W7" s="136">
        <f t="shared" si="4"/>
        <v>0</v>
      </c>
      <c r="X7" s="132">
        <f t="shared" si="4"/>
        <v>0</v>
      </c>
      <c r="Y7" s="133">
        <f t="shared" si="3"/>
        <v>0</v>
      </c>
      <c r="Z7" s="161">
        <f t="shared" si="3"/>
        <v>0</v>
      </c>
      <c r="AA7" s="130">
        <f>+S7-ตท.!P21</f>
        <v>0</v>
      </c>
      <c r="AB7" s="37" t="e">
        <f>+Y7*100/S7</f>
        <v>#DIV/0!</v>
      </c>
      <c r="AC7" s="80">
        <f>+S7-ตท.!P21</f>
        <v>0</v>
      </c>
      <c r="AD7" s="80">
        <f>+Y7-ตท.!K21</f>
        <v>0</v>
      </c>
    </row>
    <row r="8" spans="1:30" x14ac:dyDescent="0.55000000000000004">
      <c r="A8" s="109">
        <v>3</v>
      </c>
      <c r="B8" s="108" t="s">
        <v>31</v>
      </c>
      <c r="C8" s="133">
        <f>+สท.!P19</f>
        <v>3742700</v>
      </c>
      <c r="D8" s="135">
        <f>+สท.!A19</f>
        <v>7</v>
      </c>
      <c r="E8" s="136">
        <f>+สท.!J19</f>
        <v>0</v>
      </c>
      <c r="F8" s="161">
        <f>+สท.!Q19</f>
        <v>0</v>
      </c>
      <c r="G8" s="136">
        <f t="shared" si="0"/>
        <v>3742700</v>
      </c>
      <c r="H8" s="135">
        <f t="shared" si="0"/>
        <v>7</v>
      </c>
      <c r="I8" s="136">
        <f>+สท.!K19</f>
        <v>0</v>
      </c>
      <c r="J8" s="135">
        <f>+สท.!R19</f>
        <v>0</v>
      </c>
      <c r="K8" s="133">
        <f>+สท.!P23</f>
        <v>0</v>
      </c>
      <c r="L8" s="136">
        <f>+สท.!A23</f>
        <v>0</v>
      </c>
      <c r="M8" s="133">
        <f>+สท.!J23</f>
        <v>0</v>
      </c>
      <c r="N8" s="136">
        <f>+สท.!Q23</f>
        <v>0</v>
      </c>
      <c r="O8" s="136">
        <f t="shared" si="1"/>
        <v>0</v>
      </c>
      <c r="P8" s="136">
        <f t="shared" si="1"/>
        <v>0</v>
      </c>
      <c r="Q8" s="133">
        <f>+สท.!K23</f>
        <v>0</v>
      </c>
      <c r="R8" s="110">
        <f>+สท.!R23</f>
        <v>0</v>
      </c>
      <c r="S8" s="133">
        <f t="shared" si="2"/>
        <v>3742700</v>
      </c>
      <c r="T8" s="132">
        <f t="shared" si="2"/>
        <v>7</v>
      </c>
      <c r="U8" s="136">
        <f t="shared" si="2"/>
        <v>0</v>
      </c>
      <c r="V8" s="132">
        <f t="shared" si="2"/>
        <v>0</v>
      </c>
      <c r="W8" s="136">
        <f t="shared" si="4"/>
        <v>3742700</v>
      </c>
      <c r="X8" s="132">
        <f t="shared" si="4"/>
        <v>7</v>
      </c>
      <c r="Y8" s="133">
        <f t="shared" si="3"/>
        <v>0</v>
      </c>
      <c r="Z8" s="161">
        <f t="shared" si="3"/>
        <v>0</v>
      </c>
      <c r="AA8" s="130">
        <f>+S8-สท.!Q26</f>
        <v>3742700</v>
      </c>
      <c r="AB8" s="37">
        <f>+Y8*100/S8</f>
        <v>0</v>
      </c>
      <c r="AC8" s="80">
        <f>+S8-สท.!Q26</f>
        <v>3742700</v>
      </c>
      <c r="AD8" s="80">
        <f>+Y8-สท.!K26</f>
        <v>0</v>
      </c>
    </row>
    <row r="9" spans="1:30" x14ac:dyDescent="0.55000000000000004">
      <c r="A9" s="109">
        <v>4</v>
      </c>
      <c r="B9" s="108" t="s">
        <v>152</v>
      </c>
      <c r="C9" s="133">
        <f>+สง.ก.ต.ช.!N13</f>
        <v>0</v>
      </c>
      <c r="D9" s="135">
        <f>+สง.ก.ต.ช.!A13</f>
        <v>0</v>
      </c>
      <c r="E9" s="136">
        <f>+สง.ก.ต.ช.!J13</f>
        <v>0</v>
      </c>
      <c r="F9" s="161">
        <f>+สง.ก.ต.ช.!O13</f>
        <v>0</v>
      </c>
      <c r="G9" s="136">
        <f t="shared" ref="G9:G42" si="5">+C9-E9</f>
        <v>0</v>
      </c>
      <c r="H9" s="135">
        <f t="shared" ref="H9:H42" si="6">+D9-F9</f>
        <v>0</v>
      </c>
      <c r="I9" s="136">
        <f>+สง.ก.ต.ช.!K13</f>
        <v>0</v>
      </c>
      <c r="J9" s="135">
        <f>+สง.ก.ต.ช.!P13</f>
        <v>0</v>
      </c>
      <c r="K9" s="133">
        <f>+สง.ก.ต.ช.!N17</f>
        <v>0</v>
      </c>
      <c r="L9" s="136">
        <f>+สง.ก.ต.ช.!A17</f>
        <v>0</v>
      </c>
      <c r="M9" s="133">
        <f>+สง.ก.ต.ช.!J17</f>
        <v>0</v>
      </c>
      <c r="N9" s="136">
        <f>+สง.ก.ต.ช.!O17</f>
        <v>0</v>
      </c>
      <c r="O9" s="136">
        <f t="shared" ref="O9:O42" si="7">+K9-M9</f>
        <v>0</v>
      </c>
      <c r="P9" s="136">
        <f t="shared" ref="P9:P42" si="8">+L9-N9</f>
        <v>0</v>
      </c>
      <c r="Q9" s="133">
        <f>+สง.ก.ต.ช.!K17</f>
        <v>0</v>
      </c>
      <c r="R9" s="110">
        <f>+สง.ก.ต.ช.!P17</f>
        <v>0</v>
      </c>
      <c r="S9" s="133"/>
      <c r="T9" s="132"/>
      <c r="U9" s="136"/>
      <c r="V9" s="132"/>
      <c r="W9" s="136"/>
      <c r="X9" s="132"/>
      <c r="Y9" s="133"/>
      <c r="Z9" s="161"/>
      <c r="AA9" s="130"/>
      <c r="AC9" s="80"/>
      <c r="AD9" s="80"/>
    </row>
    <row r="10" spans="1:30" x14ac:dyDescent="0.55000000000000004">
      <c r="A10" s="109">
        <v>5</v>
      </c>
      <c r="B10" s="108" t="s">
        <v>22</v>
      </c>
      <c r="C10" s="133">
        <f>+บ.ตร.!P17</f>
        <v>841500000</v>
      </c>
      <c r="D10" s="135">
        <f>+บ.ตร.!A17</f>
        <v>5</v>
      </c>
      <c r="E10" s="136">
        <f>+บ.ตร.!J17</f>
        <v>0</v>
      </c>
      <c r="F10" s="161">
        <f>+บ.ตร.!Q17</f>
        <v>0</v>
      </c>
      <c r="G10" s="136">
        <f t="shared" si="5"/>
        <v>841500000</v>
      </c>
      <c r="H10" s="135">
        <f t="shared" si="6"/>
        <v>5</v>
      </c>
      <c r="I10" s="136">
        <f>+บ.ตร.!K17</f>
        <v>0</v>
      </c>
      <c r="J10" s="135">
        <f>+บ.ตร.!R17</f>
        <v>0</v>
      </c>
      <c r="K10" s="133">
        <f>+บ.ตร.!P24</f>
        <v>39254800</v>
      </c>
      <c r="L10" s="161">
        <f>+บ.ตร.!A24</f>
        <v>4</v>
      </c>
      <c r="M10" s="133">
        <f>+บ.ตร.!J24</f>
        <v>0</v>
      </c>
      <c r="N10" s="136">
        <f>+บ.ตร.!Q24</f>
        <v>0</v>
      </c>
      <c r="O10" s="136">
        <f t="shared" si="7"/>
        <v>39254800</v>
      </c>
      <c r="P10" s="136">
        <f t="shared" si="8"/>
        <v>4</v>
      </c>
      <c r="Q10" s="133">
        <f>+บ.ตร.!K24</f>
        <v>0</v>
      </c>
      <c r="R10" s="110">
        <f>+บ.ตร.!R24</f>
        <v>0</v>
      </c>
      <c r="S10" s="133">
        <f t="shared" ref="S10:S19" si="9">+C10+K10</f>
        <v>880754800</v>
      </c>
      <c r="T10" s="132">
        <f t="shared" ref="T10:T19" si="10">+D10+L10</f>
        <v>9</v>
      </c>
      <c r="U10" s="136">
        <f t="shared" ref="U10:U19" si="11">+E10+M10</f>
        <v>0</v>
      </c>
      <c r="V10" s="132">
        <f t="shared" ref="V10:V19" si="12">+F10+N10</f>
        <v>0</v>
      </c>
      <c r="W10" s="136">
        <f t="shared" ref="W10:W19" si="13">+G10+O10</f>
        <v>880754800</v>
      </c>
      <c r="X10" s="132">
        <f t="shared" ref="X10:X19" si="14">+H10+P10</f>
        <v>9</v>
      </c>
      <c r="Y10" s="133">
        <f t="shared" ref="Y10:Y19" si="15">+I10+Q10</f>
        <v>0</v>
      </c>
      <c r="Z10" s="161">
        <f t="shared" ref="Z10:Z19" si="16">+J10+R10</f>
        <v>0</v>
      </c>
      <c r="AA10" s="130">
        <f>+S10-บ.ตร.!Q25</f>
        <v>880754800</v>
      </c>
      <c r="AB10" s="37">
        <f t="shared" ref="AB10:AB22" si="17">+Y10*100/S10</f>
        <v>0</v>
      </c>
      <c r="AC10" s="80">
        <f>+S10-บ.ตร.!Q28</f>
        <v>880754800</v>
      </c>
      <c r="AD10" s="80">
        <f>+Y10-บ.ตร.!K25</f>
        <v>0</v>
      </c>
    </row>
    <row r="11" spans="1:30" x14ac:dyDescent="0.55000000000000004">
      <c r="A11" s="109">
        <v>6</v>
      </c>
      <c r="B11" s="108" t="s">
        <v>44</v>
      </c>
      <c r="C11" s="133">
        <f>+วน.!O13</f>
        <v>0</v>
      </c>
      <c r="D11" s="135">
        <f>+วน.!A13</f>
        <v>0</v>
      </c>
      <c r="E11" s="136">
        <f>+วน.!J13</f>
        <v>0</v>
      </c>
      <c r="F11" s="161">
        <f>+วน.!P13</f>
        <v>0</v>
      </c>
      <c r="G11" s="136">
        <f t="shared" si="5"/>
        <v>0</v>
      </c>
      <c r="H11" s="135">
        <f t="shared" si="6"/>
        <v>0</v>
      </c>
      <c r="I11" s="136">
        <f>+วน.!K13</f>
        <v>0</v>
      </c>
      <c r="J11" s="135">
        <f>+วน.!Q13</f>
        <v>0</v>
      </c>
      <c r="K11" s="133">
        <f>+วน.!O17</f>
        <v>0</v>
      </c>
      <c r="L11" s="136">
        <f>+วน.!A17</f>
        <v>0</v>
      </c>
      <c r="M11" s="133">
        <f>+วน.!J17</f>
        <v>0</v>
      </c>
      <c r="N11" s="136">
        <f>+วน.!P17</f>
        <v>0</v>
      </c>
      <c r="O11" s="136">
        <f t="shared" si="7"/>
        <v>0</v>
      </c>
      <c r="P11" s="136">
        <f t="shared" si="8"/>
        <v>0</v>
      </c>
      <c r="Q11" s="133">
        <f>+วน.!K17</f>
        <v>0</v>
      </c>
      <c r="R11" s="110">
        <f>+วน.!Q17</f>
        <v>0</v>
      </c>
      <c r="S11" s="133">
        <f t="shared" si="9"/>
        <v>0</v>
      </c>
      <c r="T11" s="132">
        <f t="shared" si="10"/>
        <v>0</v>
      </c>
      <c r="U11" s="136">
        <f t="shared" si="11"/>
        <v>0</v>
      </c>
      <c r="V11" s="132">
        <f t="shared" si="12"/>
        <v>0</v>
      </c>
      <c r="W11" s="136">
        <f t="shared" si="13"/>
        <v>0</v>
      </c>
      <c r="X11" s="132">
        <f t="shared" si="14"/>
        <v>0</v>
      </c>
      <c r="Y11" s="133">
        <f t="shared" si="15"/>
        <v>0</v>
      </c>
      <c r="Z11" s="161">
        <f t="shared" si="16"/>
        <v>0</v>
      </c>
      <c r="AA11" s="130">
        <f>+S11-วน.!P18</f>
        <v>0</v>
      </c>
      <c r="AB11" s="37" t="e">
        <f t="shared" si="17"/>
        <v>#DIV/0!</v>
      </c>
      <c r="AC11" s="80">
        <f>+S11-วน.!P18</f>
        <v>0</v>
      </c>
      <c r="AD11" s="80">
        <f>+Y11-วน.!K18</f>
        <v>0</v>
      </c>
    </row>
    <row r="12" spans="1:30" x14ac:dyDescent="0.55000000000000004">
      <c r="A12" s="109">
        <v>7</v>
      </c>
      <c r="B12" s="108" t="s">
        <v>41</v>
      </c>
      <c r="C12" s="133">
        <f>+สยศ.ตร.!P14</f>
        <v>0</v>
      </c>
      <c r="D12" s="135">
        <f>+สยศ.ตร.!A14</f>
        <v>0</v>
      </c>
      <c r="E12" s="136">
        <f>+สยศ.ตร.!J14</f>
        <v>0</v>
      </c>
      <c r="F12" s="161">
        <f>+สยศ.ตร.!Q14</f>
        <v>0</v>
      </c>
      <c r="G12" s="136">
        <f t="shared" si="5"/>
        <v>0</v>
      </c>
      <c r="H12" s="135">
        <f t="shared" si="6"/>
        <v>0</v>
      </c>
      <c r="I12" s="136">
        <f>+สยศ.ตร.!K14</f>
        <v>0</v>
      </c>
      <c r="J12" s="135">
        <f>+สยศ.ตร.!R14</f>
        <v>0</v>
      </c>
      <c r="K12" s="133">
        <f>+สยศ.ตร.!P18</f>
        <v>0</v>
      </c>
      <c r="L12" s="136">
        <f>+สยศ.ตร.!A18</f>
        <v>0</v>
      </c>
      <c r="M12" s="133">
        <f>+สยศ.ตร.!J18</f>
        <v>0</v>
      </c>
      <c r="N12" s="136">
        <f>+สยศ.ตร.!Q18</f>
        <v>0</v>
      </c>
      <c r="O12" s="136">
        <f t="shared" si="7"/>
        <v>0</v>
      </c>
      <c r="P12" s="136">
        <f t="shared" si="8"/>
        <v>0</v>
      </c>
      <c r="Q12" s="133">
        <f>+สยศ.ตร.!K18</f>
        <v>0</v>
      </c>
      <c r="R12" s="110">
        <f>+สยศ.ตร.!R18</f>
        <v>0</v>
      </c>
      <c r="S12" s="133">
        <f t="shared" si="9"/>
        <v>0</v>
      </c>
      <c r="T12" s="132">
        <f t="shared" si="10"/>
        <v>0</v>
      </c>
      <c r="U12" s="136">
        <f t="shared" si="11"/>
        <v>0</v>
      </c>
      <c r="V12" s="132">
        <f t="shared" si="12"/>
        <v>0</v>
      </c>
      <c r="W12" s="136">
        <f t="shared" si="13"/>
        <v>0</v>
      </c>
      <c r="X12" s="132">
        <f t="shared" si="14"/>
        <v>0</v>
      </c>
      <c r="Y12" s="133">
        <f t="shared" si="15"/>
        <v>0</v>
      </c>
      <c r="Z12" s="161">
        <f t="shared" si="16"/>
        <v>0</v>
      </c>
      <c r="AA12" s="130">
        <f>+S12-สยศ.ตร.!Q19</f>
        <v>0</v>
      </c>
      <c r="AB12" s="37" t="e">
        <f t="shared" si="17"/>
        <v>#DIV/0!</v>
      </c>
      <c r="AC12" s="80">
        <f>+S12-สยศ.ตร.!Q19</f>
        <v>0</v>
      </c>
      <c r="AD12" s="80">
        <f>+Y12-สยศ.ตร.!K19</f>
        <v>0</v>
      </c>
    </row>
    <row r="13" spans="1:30" x14ac:dyDescent="0.55000000000000004">
      <c r="A13" s="109">
        <v>8</v>
      </c>
      <c r="B13" s="188" t="s">
        <v>4</v>
      </c>
      <c r="C13" s="133">
        <f>+สกบ.!Q42</f>
        <v>807245900</v>
      </c>
      <c r="D13" s="135">
        <f>+สกบ.!A42</f>
        <v>29</v>
      </c>
      <c r="E13" s="136">
        <f>+สกบ.!J42</f>
        <v>0</v>
      </c>
      <c r="F13" s="161">
        <f>+สกบ.!R42</f>
        <v>0</v>
      </c>
      <c r="G13" s="136">
        <f t="shared" si="5"/>
        <v>807245900</v>
      </c>
      <c r="H13" s="135">
        <f t="shared" si="6"/>
        <v>29</v>
      </c>
      <c r="I13" s="136">
        <f>+สกบ.!K42</f>
        <v>0</v>
      </c>
      <c r="J13" s="135">
        <f>+สกบ.!S42</f>
        <v>0</v>
      </c>
      <c r="K13" s="133" t="e">
        <f>+สกบ.!#REF!</f>
        <v>#REF!</v>
      </c>
      <c r="L13" s="134">
        <f>+สกบ.!A52</f>
        <v>7</v>
      </c>
      <c r="M13" s="133" t="e">
        <f>+สกบ.!#REF!</f>
        <v>#REF!</v>
      </c>
      <c r="N13" s="134" t="e">
        <f>+สกบ.!#REF!</f>
        <v>#REF!</v>
      </c>
      <c r="O13" s="136" t="e">
        <f t="shared" si="7"/>
        <v>#REF!</v>
      </c>
      <c r="P13" s="136" t="e">
        <f t="shared" si="8"/>
        <v>#REF!</v>
      </c>
      <c r="Q13" s="133" t="e">
        <f>+สกบ.!#REF!</f>
        <v>#REF!</v>
      </c>
      <c r="R13" s="110" t="e">
        <f>+สกบ.!#REF!</f>
        <v>#REF!</v>
      </c>
      <c r="S13" s="133" t="e">
        <f t="shared" si="9"/>
        <v>#REF!</v>
      </c>
      <c r="T13" s="132">
        <f t="shared" si="10"/>
        <v>36</v>
      </c>
      <c r="U13" s="136" t="e">
        <f t="shared" si="11"/>
        <v>#REF!</v>
      </c>
      <c r="V13" s="132" t="e">
        <f t="shared" si="12"/>
        <v>#REF!</v>
      </c>
      <c r="W13" s="136" t="e">
        <f t="shared" si="13"/>
        <v>#REF!</v>
      </c>
      <c r="X13" s="132" t="e">
        <f t="shared" si="14"/>
        <v>#REF!</v>
      </c>
      <c r="Y13" s="133" t="e">
        <f t="shared" si="15"/>
        <v>#REF!</v>
      </c>
      <c r="Z13" s="161" t="e">
        <f t="shared" si="16"/>
        <v>#REF!</v>
      </c>
      <c r="AA13" s="130" t="e">
        <f>+S13-สกบ.!R100</f>
        <v>#REF!</v>
      </c>
      <c r="AB13" s="235" t="e">
        <f t="shared" si="17"/>
        <v>#REF!</v>
      </c>
      <c r="AC13" s="80" t="e">
        <f>+S13-สกบ.!R100</f>
        <v>#REF!</v>
      </c>
      <c r="AD13" s="80" t="e">
        <f>+Y13-สกบ.!K100</f>
        <v>#REF!</v>
      </c>
    </row>
    <row r="14" spans="1:30" x14ac:dyDescent="0.55000000000000004">
      <c r="A14" s="109">
        <v>9</v>
      </c>
      <c r="B14" s="108" t="s">
        <v>38</v>
      </c>
      <c r="C14" s="133">
        <f>+สกพ.!P13</f>
        <v>0</v>
      </c>
      <c r="D14" s="135">
        <f>+สกพ.!A13</f>
        <v>0</v>
      </c>
      <c r="E14" s="136" t="e">
        <f>+สกพ.!J13</f>
        <v>#REF!</v>
      </c>
      <c r="F14" s="161">
        <f>+สกพ.!Q13</f>
        <v>0</v>
      </c>
      <c r="G14" s="136" t="e">
        <f t="shared" si="5"/>
        <v>#REF!</v>
      </c>
      <c r="H14" s="135">
        <f t="shared" si="6"/>
        <v>0</v>
      </c>
      <c r="I14" s="136" t="e">
        <f>+สกพ.!K13</f>
        <v>#REF!</v>
      </c>
      <c r="J14" s="135">
        <f>+สกพ.!R13</f>
        <v>0</v>
      </c>
      <c r="K14" s="133">
        <f>+สกพ.!P18</f>
        <v>15458000</v>
      </c>
      <c r="L14" s="134">
        <f>+สกพ.!A18</f>
        <v>2</v>
      </c>
      <c r="M14" s="133">
        <f>+สกพ.!J18</f>
        <v>0</v>
      </c>
      <c r="N14" s="134">
        <f>+สกพ.!Q18</f>
        <v>0</v>
      </c>
      <c r="O14" s="136">
        <f t="shared" si="7"/>
        <v>15458000</v>
      </c>
      <c r="P14" s="136">
        <f t="shared" si="8"/>
        <v>2</v>
      </c>
      <c r="Q14" s="133">
        <f>+สกพ.!K18</f>
        <v>0</v>
      </c>
      <c r="R14" s="110">
        <f>+สกพ.!R18</f>
        <v>0</v>
      </c>
      <c r="S14" s="133">
        <f t="shared" si="9"/>
        <v>15458000</v>
      </c>
      <c r="T14" s="132">
        <f t="shared" si="10"/>
        <v>2</v>
      </c>
      <c r="U14" s="136" t="e">
        <f t="shared" si="11"/>
        <v>#REF!</v>
      </c>
      <c r="V14" s="132">
        <f t="shared" si="12"/>
        <v>0</v>
      </c>
      <c r="W14" s="136" t="e">
        <f t="shared" si="13"/>
        <v>#REF!</v>
      </c>
      <c r="X14" s="132">
        <f t="shared" si="14"/>
        <v>2</v>
      </c>
      <c r="Y14" s="133" t="e">
        <f t="shared" si="15"/>
        <v>#REF!</v>
      </c>
      <c r="Z14" s="161">
        <f t="shared" si="16"/>
        <v>0</v>
      </c>
      <c r="AA14" s="130">
        <f>+S14-สกพ.!Q25</f>
        <v>15458000</v>
      </c>
      <c r="AB14" s="37" t="e">
        <f t="shared" si="17"/>
        <v>#REF!</v>
      </c>
      <c r="AC14" s="80">
        <f>+S14-สกพ.!Q25</f>
        <v>15458000</v>
      </c>
      <c r="AD14" s="80" t="e">
        <f>+Y14-สกพ.!K25</f>
        <v>#REF!</v>
      </c>
    </row>
    <row r="15" spans="1:30" x14ac:dyDescent="0.55000000000000004">
      <c r="A15" s="109">
        <v>10</v>
      </c>
      <c r="B15" s="108" t="s">
        <v>130</v>
      </c>
      <c r="C15" s="133">
        <f>+สงป.!O14</f>
        <v>0</v>
      </c>
      <c r="D15" s="135">
        <f>+สงป.!A14</f>
        <v>0</v>
      </c>
      <c r="E15" s="136">
        <f>+สงป.!J14</f>
        <v>0</v>
      </c>
      <c r="F15" s="161">
        <f>+สงป.!P14</f>
        <v>0</v>
      </c>
      <c r="G15" s="136">
        <f t="shared" si="5"/>
        <v>0</v>
      </c>
      <c r="H15" s="135">
        <f t="shared" si="6"/>
        <v>0</v>
      </c>
      <c r="I15" s="136">
        <f>+สงป.!K14</f>
        <v>0</v>
      </c>
      <c r="J15" s="136">
        <f>+สงป.!Q14</f>
        <v>0</v>
      </c>
      <c r="K15" s="133">
        <f>+สงป.!O18</f>
        <v>0</v>
      </c>
      <c r="L15" s="161">
        <f>+สงป.!A18</f>
        <v>0</v>
      </c>
      <c r="M15" s="133">
        <f>+สงป.!J18</f>
        <v>0</v>
      </c>
      <c r="N15" s="136">
        <f>+สงป.!P18</f>
        <v>0</v>
      </c>
      <c r="O15" s="136">
        <f t="shared" si="7"/>
        <v>0</v>
      </c>
      <c r="P15" s="136">
        <f t="shared" si="8"/>
        <v>0</v>
      </c>
      <c r="Q15" s="133">
        <f>+สงป.!K18</f>
        <v>0</v>
      </c>
      <c r="R15" s="110">
        <f>+สงป.!Q18</f>
        <v>0</v>
      </c>
      <c r="S15" s="133">
        <f t="shared" si="9"/>
        <v>0</v>
      </c>
      <c r="T15" s="132">
        <f t="shared" si="10"/>
        <v>0</v>
      </c>
      <c r="U15" s="136">
        <f t="shared" si="11"/>
        <v>0</v>
      </c>
      <c r="V15" s="132">
        <f t="shared" si="12"/>
        <v>0</v>
      </c>
      <c r="W15" s="136">
        <f t="shared" si="13"/>
        <v>0</v>
      </c>
      <c r="X15" s="132">
        <f t="shared" si="14"/>
        <v>0</v>
      </c>
      <c r="Y15" s="133">
        <f t="shared" si="15"/>
        <v>0</v>
      </c>
      <c r="Z15" s="161">
        <f t="shared" si="16"/>
        <v>0</v>
      </c>
      <c r="AA15" s="130">
        <f>+S15-สงป.!P19</f>
        <v>0</v>
      </c>
      <c r="AB15" s="37" t="e">
        <f t="shared" si="17"/>
        <v>#DIV/0!</v>
      </c>
      <c r="AC15" s="80">
        <f>+S15-สงป.!P19</f>
        <v>0</v>
      </c>
      <c r="AD15" s="80">
        <f>+Y15-สงป.!K19</f>
        <v>0</v>
      </c>
    </row>
    <row r="16" spans="1:30" x14ac:dyDescent="0.55000000000000004">
      <c r="A16" s="109">
        <v>11</v>
      </c>
      <c r="B16" s="108" t="s">
        <v>45</v>
      </c>
      <c r="C16" s="133">
        <f>+กมค.!P16</f>
        <v>682800</v>
      </c>
      <c r="D16" s="136">
        <f>+กมค.!A16</f>
        <v>4</v>
      </c>
      <c r="E16" s="136">
        <f>+กมค.!J16</f>
        <v>0</v>
      </c>
      <c r="F16" s="161">
        <f>+กมค.!Q16</f>
        <v>0</v>
      </c>
      <c r="G16" s="136">
        <f t="shared" si="5"/>
        <v>682800</v>
      </c>
      <c r="H16" s="135">
        <f t="shared" si="6"/>
        <v>4</v>
      </c>
      <c r="I16" s="136">
        <f>+กมค.!K16</f>
        <v>0</v>
      </c>
      <c r="J16" s="136">
        <f>+กมค.!R16</f>
        <v>0</v>
      </c>
      <c r="K16" s="133">
        <f>+กมค.!P21</f>
        <v>7010000</v>
      </c>
      <c r="L16" s="134">
        <f>+กมค.!A21</f>
        <v>2</v>
      </c>
      <c r="M16" s="133">
        <f>+กมค.!J21</f>
        <v>0</v>
      </c>
      <c r="N16" s="134">
        <f>+กมค.!Q21</f>
        <v>0</v>
      </c>
      <c r="O16" s="136">
        <f t="shared" si="7"/>
        <v>7010000</v>
      </c>
      <c r="P16" s="136">
        <f t="shared" si="8"/>
        <v>2</v>
      </c>
      <c r="Q16" s="133">
        <f>+กมค.!K21</f>
        <v>0</v>
      </c>
      <c r="R16" s="110">
        <f>+กมค.!R21</f>
        <v>0</v>
      </c>
      <c r="S16" s="133">
        <f t="shared" si="9"/>
        <v>7692800</v>
      </c>
      <c r="T16" s="132">
        <f t="shared" si="10"/>
        <v>6</v>
      </c>
      <c r="U16" s="136">
        <f t="shared" si="11"/>
        <v>0</v>
      </c>
      <c r="V16" s="132">
        <f t="shared" si="12"/>
        <v>0</v>
      </c>
      <c r="W16" s="136">
        <f t="shared" si="13"/>
        <v>7692800</v>
      </c>
      <c r="X16" s="132">
        <f t="shared" si="14"/>
        <v>6</v>
      </c>
      <c r="Y16" s="133">
        <f t="shared" si="15"/>
        <v>0</v>
      </c>
      <c r="Z16" s="161">
        <f t="shared" si="16"/>
        <v>0</v>
      </c>
      <c r="AA16" s="130">
        <f>+S16-กมค.!Q24</f>
        <v>7692800</v>
      </c>
      <c r="AB16" s="37">
        <f t="shared" si="17"/>
        <v>0</v>
      </c>
      <c r="AC16" s="80">
        <f>+S16-กมค.!Q24</f>
        <v>7692800</v>
      </c>
      <c r="AD16" s="80">
        <f>+Y16-กมค.!K24</f>
        <v>0</v>
      </c>
    </row>
    <row r="17" spans="1:30" x14ac:dyDescent="0.55000000000000004">
      <c r="A17" s="109">
        <v>12</v>
      </c>
      <c r="B17" s="108" t="s">
        <v>40</v>
      </c>
      <c r="C17" s="133">
        <f>+สง.ก.ตร.!O13</f>
        <v>0</v>
      </c>
      <c r="D17" s="135">
        <f>+สง.ก.ตร.!A13</f>
        <v>0</v>
      </c>
      <c r="E17" s="136">
        <f>+สง.ก.ตร.!J13</f>
        <v>0</v>
      </c>
      <c r="F17" s="161">
        <f>+สง.ก.ตร.!P13</f>
        <v>0</v>
      </c>
      <c r="G17" s="136">
        <f t="shared" si="5"/>
        <v>0</v>
      </c>
      <c r="H17" s="135">
        <f t="shared" si="6"/>
        <v>0</v>
      </c>
      <c r="I17" s="136">
        <f>+สง.ก.ตร.!K13</f>
        <v>0</v>
      </c>
      <c r="J17" s="135">
        <f>+สง.ก.ตร.!Q13</f>
        <v>0</v>
      </c>
      <c r="K17" s="133">
        <f>+สง.ก.ตร.!O17</f>
        <v>0</v>
      </c>
      <c r="L17" s="136">
        <f>+สง.ก.ตร.!A17</f>
        <v>0</v>
      </c>
      <c r="M17" s="133">
        <f>+สง.ก.ตร.!J17</f>
        <v>0</v>
      </c>
      <c r="N17" s="136">
        <f>+สง.ก.ตร.!P17</f>
        <v>0</v>
      </c>
      <c r="O17" s="136">
        <f t="shared" si="7"/>
        <v>0</v>
      </c>
      <c r="P17" s="136">
        <f t="shared" si="8"/>
        <v>0</v>
      </c>
      <c r="Q17" s="133">
        <f>+สง.ก.ตร.!K17</f>
        <v>0</v>
      </c>
      <c r="R17" s="110">
        <f>+สง.ก.ตร.!Q17</f>
        <v>0</v>
      </c>
      <c r="S17" s="133">
        <f t="shared" si="9"/>
        <v>0</v>
      </c>
      <c r="T17" s="132">
        <f t="shared" si="10"/>
        <v>0</v>
      </c>
      <c r="U17" s="136">
        <f t="shared" si="11"/>
        <v>0</v>
      </c>
      <c r="V17" s="132">
        <f t="shared" si="12"/>
        <v>0</v>
      </c>
      <c r="W17" s="136">
        <f t="shared" si="13"/>
        <v>0</v>
      </c>
      <c r="X17" s="132">
        <f t="shared" si="14"/>
        <v>0</v>
      </c>
      <c r="Y17" s="133">
        <f t="shared" si="15"/>
        <v>0</v>
      </c>
      <c r="Z17" s="161">
        <f t="shared" si="16"/>
        <v>0</v>
      </c>
      <c r="AA17" s="130">
        <f>+S17-สง.ก.ตร.!P19</f>
        <v>0</v>
      </c>
      <c r="AB17" s="37" t="e">
        <f t="shared" si="17"/>
        <v>#DIV/0!</v>
      </c>
      <c r="AC17" s="80">
        <f>+S17-สง.ก.ตร.!P19</f>
        <v>0</v>
      </c>
      <c r="AD17" s="80">
        <f>+Y17-สง.ก.ตร.!K19</f>
        <v>0</v>
      </c>
    </row>
    <row r="18" spans="1:30" x14ac:dyDescent="0.55000000000000004">
      <c r="A18" s="109">
        <v>13</v>
      </c>
      <c r="B18" s="108" t="s">
        <v>36</v>
      </c>
      <c r="C18" s="133">
        <f>+จต.!P13</f>
        <v>0</v>
      </c>
      <c r="D18" s="136">
        <f>+จต.!A13</f>
        <v>0</v>
      </c>
      <c r="E18" s="136">
        <f>+จต.!J13</f>
        <v>0</v>
      </c>
      <c r="F18" s="161">
        <f>+จต.!Q13</f>
        <v>0</v>
      </c>
      <c r="G18" s="136">
        <f t="shared" si="5"/>
        <v>0</v>
      </c>
      <c r="H18" s="135">
        <f t="shared" si="6"/>
        <v>0</v>
      </c>
      <c r="I18" s="136">
        <f>+จต.!K13</f>
        <v>0</v>
      </c>
      <c r="J18" s="136">
        <f>+จต.!R13</f>
        <v>0</v>
      </c>
      <c r="K18" s="133">
        <f>+จต.!P17</f>
        <v>0</v>
      </c>
      <c r="L18" s="134">
        <f>+จต.!A17</f>
        <v>0</v>
      </c>
      <c r="M18" s="133">
        <f>+จต.!J17</f>
        <v>0</v>
      </c>
      <c r="N18" s="134">
        <f>+จต.!Q17</f>
        <v>0</v>
      </c>
      <c r="O18" s="136">
        <f t="shared" si="7"/>
        <v>0</v>
      </c>
      <c r="P18" s="136">
        <f t="shared" si="8"/>
        <v>0</v>
      </c>
      <c r="Q18" s="133">
        <f>+จต.!K17</f>
        <v>0</v>
      </c>
      <c r="R18" s="110">
        <f>+จต.!R17</f>
        <v>0</v>
      </c>
      <c r="S18" s="133">
        <f t="shared" si="9"/>
        <v>0</v>
      </c>
      <c r="T18" s="132">
        <f t="shared" si="10"/>
        <v>0</v>
      </c>
      <c r="U18" s="136">
        <f t="shared" si="11"/>
        <v>0</v>
      </c>
      <c r="V18" s="132">
        <f t="shared" si="12"/>
        <v>0</v>
      </c>
      <c r="W18" s="136">
        <f t="shared" si="13"/>
        <v>0</v>
      </c>
      <c r="X18" s="132">
        <f t="shared" si="14"/>
        <v>0</v>
      </c>
      <c r="Y18" s="133">
        <f t="shared" si="15"/>
        <v>0</v>
      </c>
      <c r="Z18" s="161">
        <f t="shared" si="16"/>
        <v>0</v>
      </c>
      <c r="AA18" s="130">
        <f>+S18-จต.!Q18</f>
        <v>0</v>
      </c>
      <c r="AB18" s="37" t="e">
        <f t="shared" si="17"/>
        <v>#DIV/0!</v>
      </c>
      <c r="AC18" s="80">
        <f>+S18-จต.!Q18</f>
        <v>0</v>
      </c>
      <c r="AD18" s="80">
        <f>+Y18-จต.!K18</f>
        <v>0</v>
      </c>
    </row>
    <row r="19" spans="1:30" x14ac:dyDescent="0.55000000000000004">
      <c r="A19" s="109">
        <v>14</v>
      </c>
      <c r="B19" s="108" t="s">
        <v>43</v>
      </c>
      <c r="C19" s="133">
        <f>+สตส.!N13</f>
        <v>0</v>
      </c>
      <c r="D19" s="135">
        <f>+สตส.!A13</f>
        <v>0</v>
      </c>
      <c r="E19" s="136">
        <f>+สตส.!J13</f>
        <v>0</v>
      </c>
      <c r="F19" s="161">
        <f>+สตส.!O13</f>
        <v>0</v>
      </c>
      <c r="G19" s="136">
        <f t="shared" si="5"/>
        <v>0</v>
      </c>
      <c r="H19" s="135">
        <f t="shared" si="6"/>
        <v>0</v>
      </c>
      <c r="I19" s="136">
        <f>+สตส.!K13</f>
        <v>0</v>
      </c>
      <c r="J19" s="135">
        <f>+สตส.!P13</f>
        <v>0</v>
      </c>
      <c r="K19" s="133">
        <f>+สตส.!N17</f>
        <v>0</v>
      </c>
      <c r="L19" s="136">
        <f>+สตส.!A17</f>
        <v>0</v>
      </c>
      <c r="M19" s="133">
        <f>+สตส.!J17</f>
        <v>0</v>
      </c>
      <c r="N19" s="136">
        <f>+สตส.!O17</f>
        <v>0</v>
      </c>
      <c r="O19" s="136">
        <f t="shared" si="7"/>
        <v>0</v>
      </c>
      <c r="P19" s="136">
        <f t="shared" si="8"/>
        <v>0</v>
      </c>
      <c r="Q19" s="133">
        <f>+สตส.!K17</f>
        <v>0</v>
      </c>
      <c r="R19" s="110">
        <f>+สตส.!P17</f>
        <v>0</v>
      </c>
      <c r="S19" s="133">
        <f t="shared" si="9"/>
        <v>0</v>
      </c>
      <c r="T19" s="132">
        <f t="shared" si="10"/>
        <v>0</v>
      </c>
      <c r="U19" s="136">
        <f t="shared" si="11"/>
        <v>0</v>
      </c>
      <c r="V19" s="132">
        <f t="shared" si="12"/>
        <v>0</v>
      </c>
      <c r="W19" s="136">
        <f t="shared" si="13"/>
        <v>0</v>
      </c>
      <c r="X19" s="132">
        <f t="shared" si="14"/>
        <v>0</v>
      </c>
      <c r="Y19" s="133">
        <f t="shared" si="15"/>
        <v>0</v>
      </c>
      <c r="Z19" s="161">
        <f t="shared" si="16"/>
        <v>0</v>
      </c>
      <c r="AA19" s="130">
        <f>+S19-สตส.!O18</f>
        <v>0</v>
      </c>
      <c r="AB19" s="37" t="e">
        <f t="shared" si="17"/>
        <v>#DIV/0!</v>
      </c>
      <c r="AC19" s="80">
        <f>+S19-สตส.!O18</f>
        <v>0</v>
      </c>
      <c r="AD19" s="80">
        <f>+Y19-สตส.!K18</f>
        <v>0</v>
      </c>
    </row>
    <row r="20" spans="1:30" x14ac:dyDescent="0.55000000000000004">
      <c r="A20" s="109">
        <v>15</v>
      </c>
      <c r="B20" s="108" t="s">
        <v>14</v>
      </c>
      <c r="C20" s="133">
        <f>+บช.น.!P16</f>
        <v>7918900</v>
      </c>
      <c r="D20" s="135">
        <f>+บช.น.!A16</f>
        <v>4</v>
      </c>
      <c r="E20" s="136">
        <f>+บช.น.!J16</f>
        <v>0</v>
      </c>
      <c r="F20" s="161">
        <f>+บช.น.!Q16</f>
        <v>0</v>
      </c>
      <c r="G20" s="136">
        <f t="shared" si="5"/>
        <v>7918900</v>
      </c>
      <c r="H20" s="135">
        <f t="shared" si="6"/>
        <v>4</v>
      </c>
      <c r="I20" s="136">
        <f>+บช.น.!K16</f>
        <v>0</v>
      </c>
      <c r="J20" s="135">
        <f>+บช.น.!R16</f>
        <v>0</v>
      </c>
      <c r="K20" s="133">
        <f>+บช.น.!P21</f>
        <v>17715600</v>
      </c>
      <c r="L20" s="134">
        <f>+บช.น.!A21</f>
        <v>2</v>
      </c>
      <c r="M20" s="133">
        <f>+บช.น.!J21</f>
        <v>0</v>
      </c>
      <c r="N20" s="134">
        <f>+บช.น.!Q21</f>
        <v>0</v>
      </c>
      <c r="O20" s="136">
        <f t="shared" si="7"/>
        <v>17715600</v>
      </c>
      <c r="P20" s="136">
        <f t="shared" si="8"/>
        <v>2</v>
      </c>
      <c r="Q20" s="133">
        <f>+บช.น.!K21</f>
        <v>0</v>
      </c>
      <c r="R20" s="110">
        <f>+บช.น.!R21</f>
        <v>0</v>
      </c>
      <c r="S20" s="133">
        <f>+C20+K20</f>
        <v>25634500</v>
      </c>
      <c r="T20" s="132">
        <f>+D20+L20</f>
        <v>6</v>
      </c>
      <c r="U20" s="136">
        <f t="shared" ref="U20:U42" si="18">+E20+M20</f>
        <v>0</v>
      </c>
      <c r="V20" s="132">
        <f t="shared" ref="V20:V42" si="19">+F20+N20</f>
        <v>0</v>
      </c>
      <c r="W20" s="136">
        <f>+G20+O20</f>
        <v>25634500</v>
      </c>
      <c r="X20" s="132">
        <f>+H20+P20</f>
        <v>6</v>
      </c>
      <c r="Y20" s="133">
        <f>+I20+Q20</f>
        <v>0</v>
      </c>
      <c r="Z20" s="161">
        <f t="shared" ref="Z20:Z42" si="20">+J20+R20</f>
        <v>0</v>
      </c>
      <c r="AB20" s="37">
        <f t="shared" si="17"/>
        <v>0</v>
      </c>
      <c r="AC20" s="80">
        <f>+S20-บช.น.!Q32</f>
        <v>25634500</v>
      </c>
      <c r="AD20" s="80">
        <f>+Y20-บช.น.!K32</f>
        <v>0</v>
      </c>
    </row>
    <row r="21" spans="1:30" x14ac:dyDescent="0.55000000000000004">
      <c r="A21" s="109">
        <v>16</v>
      </c>
      <c r="B21" s="108" t="s">
        <v>12</v>
      </c>
      <c r="C21" s="133">
        <f>+ภ.1!P13</f>
        <v>0</v>
      </c>
      <c r="D21" s="135">
        <f>+ภ.1!A13</f>
        <v>0</v>
      </c>
      <c r="E21" s="136">
        <f>+ภ.1!J13</f>
        <v>0</v>
      </c>
      <c r="F21" s="161">
        <f>+ภ.1!Q13</f>
        <v>0</v>
      </c>
      <c r="G21" s="136">
        <f t="shared" si="5"/>
        <v>0</v>
      </c>
      <c r="H21" s="135">
        <f t="shared" si="6"/>
        <v>0</v>
      </c>
      <c r="I21" s="136">
        <f>+ภ.1!K13</f>
        <v>0</v>
      </c>
      <c r="J21" s="135">
        <f>+ภ.1!R13</f>
        <v>0</v>
      </c>
      <c r="K21" s="133">
        <f>+ภ.1!P17</f>
        <v>0</v>
      </c>
      <c r="L21" s="134">
        <f>+ภ.1!A17</f>
        <v>0</v>
      </c>
      <c r="M21" s="133">
        <f>+ภ.1!J17</f>
        <v>0</v>
      </c>
      <c r="N21" s="134">
        <f>+ภ.1!Q17</f>
        <v>0</v>
      </c>
      <c r="O21" s="136">
        <f t="shared" si="7"/>
        <v>0</v>
      </c>
      <c r="P21" s="136">
        <f t="shared" si="8"/>
        <v>0</v>
      </c>
      <c r="Q21" s="133">
        <f>+ภ.1!K17</f>
        <v>0</v>
      </c>
      <c r="R21" s="110">
        <f>+ภ.1!R17</f>
        <v>0</v>
      </c>
      <c r="S21" s="133">
        <f t="shared" ref="S21:S42" si="21">+C21+K21</f>
        <v>0</v>
      </c>
      <c r="T21" s="132">
        <f t="shared" ref="T21:T42" si="22">+D21+L21</f>
        <v>0</v>
      </c>
      <c r="U21" s="136">
        <f t="shared" si="18"/>
        <v>0</v>
      </c>
      <c r="V21" s="132">
        <f t="shared" si="19"/>
        <v>0</v>
      </c>
      <c r="W21" s="136">
        <f>+G21+O21</f>
        <v>0</v>
      </c>
      <c r="X21" s="132">
        <f>+H21+P21</f>
        <v>0</v>
      </c>
      <c r="Y21" s="133">
        <f t="shared" ref="Y21:Y42" si="23">+I21+Q21</f>
        <v>0</v>
      </c>
      <c r="Z21" s="161">
        <f t="shared" si="20"/>
        <v>0</v>
      </c>
      <c r="AB21" s="37" t="e">
        <f t="shared" si="17"/>
        <v>#DIV/0!</v>
      </c>
      <c r="AC21" s="80">
        <f>+S21-ภ.1!Q34</f>
        <v>0</v>
      </c>
      <c r="AD21" s="80">
        <f>+Y21-ภ.1!K34</f>
        <v>0</v>
      </c>
    </row>
    <row r="22" spans="1:30" x14ac:dyDescent="0.55000000000000004">
      <c r="A22" s="109">
        <v>17</v>
      </c>
      <c r="B22" s="188" t="s">
        <v>13</v>
      </c>
      <c r="C22" s="133">
        <f>+ภ.2!P18</f>
        <v>2834400</v>
      </c>
      <c r="D22" s="135">
        <f>+ภ.2!A18</f>
        <v>6</v>
      </c>
      <c r="E22" s="136">
        <f>+ภ.2!J18</f>
        <v>0</v>
      </c>
      <c r="F22" s="161">
        <f>+ภ.2!Q18</f>
        <v>0</v>
      </c>
      <c r="G22" s="136">
        <f t="shared" si="5"/>
        <v>2834400</v>
      </c>
      <c r="H22" s="135">
        <f t="shared" si="6"/>
        <v>6</v>
      </c>
      <c r="I22" s="136">
        <f>+ภ.2!K18</f>
        <v>0</v>
      </c>
      <c r="J22" s="135">
        <f>+ภ.2!R18</f>
        <v>0</v>
      </c>
      <c r="K22" s="133">
        <f>+ภ.2!P24</f>
        <v>10509000</v>
      </c>
      <c r="L22" s="134">
        <f>+ภ.2!A24</f>
        <v>3</v>
      </c>
      <c r="M22" s="133">
        <f>+ภ.2!J24</f>
        <v>0</v>
      </c>
      <c r="N22" s="134">
        <f>+ภ.2!Q24</f>
        <v>0</v>
      </c>
      <c r="O22" s="136">
        <f t="shared" si="7"/>
        <v>10509000</v>
      </c>
      <c r="P22" s="136">
        <f t="shared" si="8"/>
        <v>3</v>
      </c>
      <c r="Q22" s="133">
        <f>+ภ.2!K24</f>
        <v>0</v>
      </c>
      <c r="R22" s="110">
        <f>+ภ.2!R24</f>
        <v>0</v>
      </c>
      <c r="S22" s="133">
        <f t="shared" si="21"/>
        <v>13343400</v>
      </c>
      <c r="T22" s="132">
        <f t="shared" si="22"/>
        <v>9</v>
      </c>
      <c r="U22" s="136">
        <f t="shared" si="18"/>
        <v>0</v>
      </c>
      <c r="V22" s="132">
        <f t="shared" si="19"/>
        <v>0</v>
      </c>
      <c r="W22" s="136">
        <f>+G22+O22</f>
        <v>13343400</v>
      </c>
      <c r="X22" s="132">
        <f>+H22+P22</f>
        <v>9</v>
      </c>
      <c r="Y22" s="133">
        <f t="shared" si="23"/>
        <v>0</v>
      </c>
      <c r="Z22" s="161">
        <f t="shared" si="20"/>
        <v>0</v>
      </c>
      <c r="AA22" s="130">
        <f>+S22-ภ.2!V38</f>
        <v>13343400</v>
      </c>
      <c r="AB22" s="37">
        <f t="shared" si="17"/>
        <v>0</v>
      </c>
      <c r="AC22" s="80">
        <f>+S22-ภ.2!V38</f>
        <v>13343400</v>
      </c>
      <c r="AD22" s="80">
        <f>+Y22-ภ.2!K38</f>
        <v>0</v>
      </c>
    </row>
    <row r="23" spans="1:30" x14ac:dyDescent="0.55000000000000004">
      <c r="A23" s="109">
        <v>18</v>
      </c>
      <c r="B23" s="108" t="s">
        <v>15</v>
      </c>
      <c r="C23" s="133">
        <f>+ภ.3!P15</f>
        <v>391200</v>
      </c>
      <c r="D23" s="135">
        <f>+ภ.3!A15</f>
        <v>3</v>
      </c>
      <c r="E23" s="136">
        <f>+ภ.3!J15</f>
        <v>0</v>
      </c>
      <c r="F23" s="161">
        <f>+ภ.3!Q15</f>
        <v>0</v>
      </c>
      <c r="G23" s="136">
        <f t="shared" si="5"/>
        <v>391200</v>
      </c>
      <c r="H23" s="135">
        <f t="shared" si="6"/>
        <v>3</v>
      </c>
      <c r="I23" s="136">
        <f>+ภ.3!K15</f>
        <v>0</v>
      </c>
      <c r="J23" s="135">
        <f>+ภ.3!R15</f>
        <v>0</v>
      </c>
      <c r="K23" s="133">
        <f>+ภ.3!P21</f>
        <v>14118100</v>
      </c>
      <c r="L23" s="134">
        <f>+ภ.3!A21</f>
        <v>3</v>
      </c>
      <c r="M23" s="133">
        <f>+ภ.3!J21</f>
        <v>0</v>
      </c>
      <c r="N23" s="134">
        <f>+ภ.3!Q21</f>
        <v>0</v>
      </c>
      <c r="O23" s="136">
        <f t="shared" si="7"/>
        <v>14118100</v>
      </c>
      <c r="P23" s="136">
        <f t="shared" si="8"/>
        <v>3</v>
      </c>
      <c r="Q23" s="133">
        <f>+ภ.3!K21</f>
        <v>0</v>
      </c>
      <c r="R23" s="110">
        <f>+ภ.3!R21</f>
        <v>0</v>
      </c>
      <c r="S23" s="133">
        <f t="shared" si="21"/>
        <v>14509300</v>
      </c>
      <c r="T23" s="132">
        <f t="shared" si="22"/>
        <v>6</v>
      </c>
      <c r="U23" s="136">
        <f t="shared" si="18"/>
        <v>0</v>
      </c>
      <c r="V23" s="132">
        <f t="shared" si="19"/>
        <v>0</v>
      </c>
      <c r="W23" s="136">
        <f t="shared" ref="W23:W42" si="24">+G23+O23</f>
        <v>14509300</v>
      </c>
      <c r="X23" s="132">
        <f t="shared" ref="X23:X42" si="25">+H23+P23</f>
        <v>6</v>
      </c>
      <c r="Y23" s="133">
        <f t="shared" si="23"/>
        <v>0</v>
      </c>
      <c r="Z23" s="161">
        <f t="shared" si="20"/>
        <v>0</v>
      </c>
      <c r="AA23" s="130">
        <f>+S23-ภ.3!Q34</f>
        <v>14509300</v>
      </c>
      <c r="AB23" s="37">
        <f t="shared" ref="AB23:AB44" si="26">+Y23*100/S23</f>
        <v>0</v>
      </c>
      <c r="AC23" s="80">
        <f>+S23-ภ.3!Q34</f>
        <v>14509300</v>
      </c>
      <c r="AD23" s="80">
        <f>+Y23-ภ.3!K34</f>
        <v>0</v>
      </c>
    </row>
    <row r="24" spans="1:30" x14ac:dyDescent="0.55000000000000004">
      <c r="A24" s="109">
        <v>19</v>
      </c>
      <c r="B24" s="108" t="s">
        <v>9</v>
      </c>
      <c r="C24" s="133">
        <f>+ภ.4!P15</f>
        <v>586800</v>
      </c>
      <c r="D24" s="135">
        <f>+ภ.4!A15</f>
        <v>3</v>
      </c>
      <c r="E24" s="136" t="e">
        <f>+ภ.4!J15</f>
        <v>#REF!</v>
      </c>
      <c r="F24" s="161">
        <f>+ภ.4!Q15</f>
        <v>0</v>
      </c>
      <c r="G24" s="136" t="e">
        <f t="shared" si="5"/>
        <v>#REF!</v>
      </c>
      <c r="H24" s="135">
        <f t="shared" si="6"/>
        <v>3</v>
      </c>
      <c r="I24" s="136" t="e">
        <f>+ภ.4!K15</f>
        <v>#REF!</v>
      </c>
      <c r="J24" s="135">
        <f>+ภ.4!R15</f>
        <v>0</v>
      </c>
      <c r="K24" s="133">
        <f>+ภ.4!P19</f>
        <v>600000</v>
      </c>
      <c r="L24" s="134">
        <f>+ภ.4!A19</f>
        <v>1</v>
      </c>
      <c r="M24" s="133" t="str">
        <f>+ภ.4!J19</f>
        <v>29 พ.ค.57 แต่งตั้งคณะกรรมการสอบราคา</v>
      </c>
      <c r="N24" s="134">
        <f>+ภ.4!Q19</f>
        <v>0</v>
      </c>
      <c r="O24" s="136" t="e">
        <f t="shared" si="7"/>
        <v>#VALUE!</v>
      </c>
      <c r="P24" s="136">
        <f t="shared" si="8"/>
        <v>1</v>
      </c>
      <c r="Q24" s="133">
        <f>+ภ.4!K19</f>
        <v>0</v>
      </c>
      <c r="R24" s="110">
        <f>+ภ.4!R19</f>
        <v>0</v>
      </c>
      <c r="S24" s="133">
        <f t="shared" si="21"/>
        <v>1186800</v>
      </c>
      <c r="T24" s="132">
        <f t="shared" si="22"/>
        <v>4</v>
      </c>
      <c r="U24" s="136" t="e">
        <f t="shared" si="18"/>
        <v>#REF!</v>
      </c>
      <c r="V24" s="132">
        <f t="shared" si="19"/>
        <v>0</v>
      </c>
      <c r="W24" s="136" t="e">
        <f t="shared" si="24"/>
        <v>#REF!</v>
      </c>
      <c r="X24" s="132">
        <f t="shared" si="25"/>
        <v>4</v>
      </c>
      <c r="Y24" s="133" t="e">
        <f t="shared" si="23"/>
        <v>#REF!</v>
      </c>
      <c r="Z24" s="161">
        <f t="shared" si="20"/>
        <v>0</v>
      </c>
      <c r="AA24" s="130">
        <f>+S24-ภ.4!U39</f>
        <v>1186800</v>
      </c>
      <c r="AB24" s="37" t="e">
        <f t="shared" si="26"/>
        <v>#REF!</v>
      </c>
      <c r="AC24" s="80">
        <f>+S24-ภ.4!U39</f>
        <v>1186800</v>
      </c>
      <c r="AD24" s="80" t="e">
        <f>+Y24-ภ.4!K39</f>
        <v>#REF!</v>
      </c>
    </row>
    <row r="25" spans="1:30" x14ac:dyDescent="0.55000000000000004">
      <c r="A25" s="109">
        <v>20</v>
      </c>
      <c r="B25" s="108" t="s">
        <v>6</v>
      </c>
      <c r="C25" s="133">
        <f>+ภ.5!P24</f>
        <v>28735100</v>
      </c>
      <c r="D25" s="135">
        <f>+ภ.5!A24</f>
        <v>12</v>
      </c>
      <c r="E25" s="136">
        <f>+ภ.5!J24</f>
        <v>0</v>
      </c>
      <c r="F25" s="161">
        <f>+ภ.5!Q24</f>
        <v>0</v>
      </c>
      <c r="G25" s="136">
        <f t="shared" si="5"/>
        <v>28735100</v>
      </c>
      <c r="H25" s="135">
        <f t="shared" si="6"/>
        <v>12</v>
      </c>
      <c r="I25" s="136">
        <f>+ภ.5!K24</f>
        <v>0</v>
      </c>
      <c r="J25" s="135">
        <f>+ภ.5!R24</f>
        <v>0</v>
      </c>
      <c r="K25" s="133">
        <f>+ภ.5!P32</f>
        <v>129448200</v>
      </c>
      <c r="L25" s="134">
        <f>+ภ.5!A32</f>
        <v>5</v>
      </c>
      <c r="M25" s="133">
        <f>+ภ.5!J32</f>
        <v>0</v>
      </c>
      <c r="N25" s="134">
        <f>+ภ.5!Q32</f>
        <v>0</v>
      </c>
      <c r="O25" s="136">
        <f t="shared" si="7"/>
        <v>129448200</v>
      </c>
      <c r="P25" s="136">
        <f t="shared" si="8"/>
        <v>5</v>
      </c>
      <c r="Q25" s="133">
        <f>+ภ.5!K32</f>
        <v>0</v>
      </c>
      <c r="R25" s="110">
        <f>+ภ.5!R32</f>
        <v>0</v>
      </c>
      <c r="S25" s="133">
        <f t="shared" si="21"/>
        <v>158183300</v>
      </c>
      <c r="T25" s="132">
        <f t="shared" si="22"/>
        <v>17</v>
      </c>
      <c r="U25" s="136">
        <f t="shared" si="18"/>
        <v>0</v>
      </c>
      <c r="V25" s="132">
        <f t="shared" si="19"/>
        <v>0</v>
      </c>
      <c r="W25" s="136">
        <f t="shared" si="24"/>
        <v>158183300</v>
      </c>
      <c r="X25" s="132">
        <f t="shared" si="25"/>
        <v>17</v>
      </c>
      <c r="Y25" s="133">
        <f t="shared" si="23"/>
        <v>0</v>
      </c>
      <c r="Z25" s="161">
        <f t="shared" si="20"/>
        <v>0</v>
      </c>
      <c r="AA25" s="130">
        <f>+S25-ภ.5!U52</f>
        <v>158183300</v>
      </c>
      <c r="AB25" s="37">
        <f t="shared" si="26"/>
        <v>0</v>
      </c>
      <c r="AC25" s="80">
        <f>+S25-ภ.5!U52</f>
        <v>158183300</v>
      </c>
      <c r="AD25" s="80">
        <f>+Y25-ภ.5!K52</f>
        <v>0</v>
      </c>
    </row>
    <row r="26" spans="1:30" x14ac:dyDescent="0.55000000000000004">
      <c r="A26" s="109">
        <v>21</v>
      </c>
      <c r="B26" s="108" t="s">
        <v>27</v>
      </c>
      <c r="C26" s="133">
        <f>+ภ.6!P17</f>
        <v>13604100</v>
      </c>
      <c r="D26" s="135">
        <f>+ภ.6!A17</f>
        <v>5</v>
      </c>
      <c r="E26" s="136">
        <f>+ภ.6!J17</f>
        <v>0</v>
      </c>
      <c r="F26" s="161">
        <f>+ภ.6!Q17</f>
        <v>0</v>
      </c>
      <c r="G26" s="136">
        <f t="shared" si="5"/>
        <v>13604100</v>
      </c>
      <c r="H26" s="135">
        <f t="shared" si="6"/>
        <v>5</v>
      </c>
      <c r="I26" s="136">
        <f>+ภ.6!K17</f>
        <v>0</v>
      </c>
      <c r="J26" s="135">
        <f>+ภ.6!R17</f>
        <v>0</v>
      </c>
      <c r="K26" s="133">
        <f>+ภ.6!P32</f>
        <v>105380700</v>
      </c>
      <c r="L26" s="134">
        <f>+ภ.6!A32</f>
        <v>11</v>
      </c>
      <c r="M26" s="133">
        <f>+ภ.6!J32</f>
        <v>0</v>
      </c>
      <c r="N26" s="134">
        <f>+ภ.6!Q32</f>
        <v>0</v>
      </c>
      <c r="O26" s="136">
        <f t="shared" si="7"/>
        <v>105380700</v>
      </c>
      <c r="P26" s="136">
        <f t="shared" si="8"/>
        <v>11</v>
      </c>
      <c r="Q26" s="133">
        <f>+ภ.6!K32</f>
        <v>0</v>
      </c>
      <c r="R26" s="110">
        <f>+ภ.6!R32</f>
        <v>0</v>
      </c>
      <c r="S26" s="133">
        <f t="shared" si="21"/>
        <v>118984800</v>
      </c>
      <c r="T26" s="132">
        <f t="shared" si="22"/>
        <v>16</v>
      </c>
      <c r="U26" s="136">
        <f t="shared" si="18"/>
        <v>0</v>
      </c>
      <c r="V26" s="132">
        <f t="shared" si="19"/>
        <v>0</v>
      </c>
      <c r="W26" s="136">
        <f t="shared" si="24"/>
        <v>118984800</v>
      </c>
      <c r="X26" s="132">
        <f t="shared" si="25"/>
        <v>16</v>
      </c>
      <c r="Y26" s="133">
        <f t="shared" si="23"/>
        <v>0</v>
      </c>
      <c r="Z26" s="161">
        <f t="shared" si="20"/>
        <v>0</v>
      </c>
      <c r="AA26" s="130">
        <f>+S26-ภ.6!Q56</f>
        <v>118984800</v>
      </c>
      <c r="AB26" s="37">
        <f t="shared" si="26"/>
        <v>0</v>
      </c>
      <c r="AC26" s="80">
        <f>+S26-ภ.6!Q56</f>
        <v>118984800</v>
      </c>
      <c r="AD26" s="80">
        <f>+Y26-ภ.6!K56</f>
        <v>0</v>
      </c>
    </row>
    <row r="27" spans="1:30" x14ac:dyDescent="0.55000000000000004">
      <c r="A27" s="109">
        <v>22</v>
      </c>
      <c r="B27" s="108" t="s">
        <v>23</v>
      </c>
      <c r="C27" s="133">
        <f>+ภ.7!P15</f>
        <v>0</v>
      </c>
      <c r="D27" s="135">
        <f>+ภ.7!A15</f>
        <v>0</v>
      </c>
      <c r="E27" s="136">
        <f>+ภ.7!J15</f>
        <v>0</v>
      </c>
      <c r="F27" s="161">
        <f>+ภ.7!Q15</f>
        <v>0</v>
      </c>
      <c r="G27" s="136">
        <f t="shared" si="5"/>
        <v>0</v>
      </c>
      <c r="H27" s="135">
        <f t="shared" si="6"/>
        <v>0</v>
      </c>
      <c r="I27" s="136">
        <f>+ภ.7!K15</f>
        <v>0</v>
      </c>
      <c r="J27" s="135">
        <f>+ภ.7!R15</f>
        <v>0</v>
      </c>
      <c r="K27" s="133">
        <f>+ภ.7!P19</f>
        <v>400000</v>
      </c>
      <c r="L27" s="134">
        <f>+ภ.7!A19</f>
        <v>1</v>
      </c>
      <c r="M27" s="133">
        <f>+ภ.7!J19</f>
        <v>0</v>
      </c>
      <c r="N27" s="134">
        <f>+ภ.7!Q19</f>
        <v>0</v>
      </c>
      <c r="O27" s="136">
        <f t="shared" si="7"/>
        <v>400000</v>
      </c>
      <c r="P27" s="136">
        <f t="shared" si="8"/>
        <v>1</v>
      </c>
      <c r="Q27" s="133">
        <f>+ภ.7!K19</f>
        <v>0</v>
      </c>
      <c r="R27" s="110">
        <f>+ภ.7!R19</f>
        <v>0</v>
      </c>
      <c r="S27" s="133">
        <f t="shared" si="21"/>
        <v>400000</v>
      </c>
      <c r="T27" s="132">
        <f t="shared" si="22"/>
        <v>1</v>
      </c>
      <c r="U27" s="136">
        <f t="shared" si="18"/>
        <v>0</v>
      </c>
      <c r="V27" s="132">
        <f t="shared" si="19"/>
        <v>0</v>
      </c>
      <c r="W27" s="136">
        <f t="shared" si="24"/>
        <v>400000</v>
      </c>
      <c r="X27" s="132">
        <f t="shared" si="25"/>
        <v>1</v>
      </c>
      <c r="Y27" s="133">
        <f t="shared" si="23"/>
        <v>0</v>
      </c>
      <c r="Z27" s="161">
        <f t="shared" si="20"/>
        <v>0</v>
      </c>
      <c r="AA27" s="130">
        <f>+S27-ภ.7!Q36</f>
        <v>400000</v>
      </c>
      <c r="AB27" s="37">
        <f t="shared" si="26"/>
        <v>0</v>
      </c>
      <c r="AC27" s="80">
        <f>+S27-ภ.7!Q36</f>
        <v>400000</v>
      </c>
      <c r="AD27" s="80">
        <f>+Y27-ภ.7!K36</f>
        <v>0</v>
      </c>
    </row>
    <row r="28" spans="1:30" x14ac:dyDescent="0.55000000000000004">
      <c r="A28" s="109">
        <v>23</v>
      </c>
      <c r="B28" s="108" t="s">
        <v>24</v>
      </c>
      <c r="C28" s="133">
        <f>+ภ.8!P27</f>
        <v>8495200</v>
      </c>
      <c r="D28" s="135">
        <f>+ภ.8!A27</f>
        <v>15</v>
      </c>
      <c r="E28" s="136" t="e">
        <f>+ภ.8!J27</f>
        <v>#REF!</v>
      </c>
      <c r="F28" s="161">
        <f>+ภ.8!Q27</f>
        <v>0</v>
      </c>
      <c r="G28" s="136" t="e">
        <f t="shared" si="5"/>
        <v>#REF!</v>
      </c>
      <c r="H28" s="135">
        <f t="shared" si="6"/>
        <v>15</v>
      </c>
      <c r="I28" s="136" t="e">
        <f>+ภ.8!K27</f>
        <v>#REF!</v>
      </c>
      <c r="J28" s="135">
        <f>+ภ.8!R27</f>
        <v>0</v>
      </c>
      <c r="K28" s="133">
        <f>+ภ.8!P35</f>
        <v>58371700</v>
      </c>
      <c r="L28" s="134">
        <f>+ภ.8!A35</f>
        <v>5</v>
      </c>
      <c r="M28" s="133">
        <f>+ภ.8!J35</f>
        <v>0</v>
      </c>
      <c r="N28" s="134">
        <f>+ภ.8!Q35</f>
        <v>0</v>
      </c>
      <c r="O28" s="136">
        <f t="shared" si="7"/>
        <v>58371700</v>
      </c>
      <c r="P28" s="136">
        <f t="shared" si="8"/>
        <v>5</v>
      </c>
      <c r="Q28" s="133">
        <f>+ภ.8!K35</f>
        <v>0</v>
      </c>
      <c r="R28" s="110">
        <f>+ภ.8!R35</f>
        <v>0</v>
      </c>
      <c r="S28" s="133">
        <f t="shared" si="21"/>
        <v>66866900</v>
      </c>
      <c r="T28" s="132">
        <f t="shared" si="22"/>
        <v>20</v>
      </c>
      <c r="U28" s="136" t="e">
        <f t="shared" si="18"/>
        <v>#REF!</v>
      </c>
      <c r="V28" s="132">
        <f t="shared" si="19"/>
        <v>0</v>
      </c>
      <c r="W28" s="136" t="e">
        <f t="shared" si="24"/>
        <v>#REF!</v>
      </c>
      <c r="X28" s="132">
        <f t="shared" si="25"/>
        <v>20</v>
      </c>
      <c r="Y28" s="133" t="e">
        <f t="shared" si="23"/>
        <v>#REF!</v>
      </c>
      <c r="Z28" s="161">
        <f t="shared" si="20"/>
        <v>0</v>
      </c>
      <c r="AA28" s="130">
        <f>+S28-ภ.8!Q54</f>
        <v>66866900</v>
      </c>
      <c r="AB28" s="37" t="e">
        <f t="shared" si="26"/>
        <v>#REF!</v>
      </c>
      <c r="AC28" s="80">
        <f>+S28-ภ.8!Q54</f>
        <v>66866900</v>
      </c>
      <c r="AD28" s="80" t="e">
        <f>+Y28-ภ.8!K54</f>
        <v>#REF!</v>
      </c>
    </row>
    <row r="29" spans="1:30" x14ac:dyDescent="0.55000000000000004">
      <c r="A29" s="109">
        <v>24</v>
      </c>
      <c r="B29" s="188" t="s">
        <v>1</v>
      </c>
      <c r="C29" s="133">
        <f>+ภ.9!P18</f>
        <v>6153600</v>
      </c>
      <c r="D29" s="134">
        <f>+ภ.9!A18</f>
        <v>6</v>
      </c>
      <c r="E29" s="136">
        <f>+ภ.9!J18</f>
        <v>0</v>
      </c>
      <c r="F29" s="161">
        <f>+ภ.9!Q18</f>
        <v>0</v>
      </c>
      <c r="G29" s="136">
        <f t="shared" si="5"/>
        <v>6153600</v>
      </c>
      <c r="H29" s="135">
        <f t="shared" si="6"/>
        <v>6</v>
      </c>
      <c r="I29" s="136">
        <f>+ภ.9!K18</f>
        <v>0</v>
      </c>
      <c r="J29" s="134">
        <f>+ภ.9!R18</f>
        <v>0</v>
      </c>
      <c r="K29" s="133">
        <f>+ภ.9!P24</f>
        <v>25711100</v>
      </c>
      <c r="L29" s="134">
        <f>+ภ.9!A24</f>
        <v>3</v>
      </c>
      <c r="M29" s="133">
        <f>+ภ.9!J24</f>
        <v>0</v>
      </c>
      <c r="N29" s="134">
        <f>+ภ.9!Q24</f>
        <v>0</v>
      </c>
      <c r="O29" s="136">
        <f t="shared" si="7"/>
        <v>25711100</v>
      </c>
      <c r="P29" s="136">
        <f t="shared" si="8"/>
        <v>3</v>
      </c>
      <c r="Q29" s="133">
        <f>+ภ.9!K24</f>
        <v>0</v>
      </c>
      <c r="R29" s="110">
        <f>+ภ.9!R24</f>
        <v>0</v>
      </c>
      <c r="S29" s="133">
        <f t="shared" si="21"/>
        <v>31864700</v>
      </c>
      <c r="T29" s="132">
        <f t="shared" si="22"/>
        <v>9</v>
      </c>
      <c r="U29" s="136">
        <f t="shared" si="18"/>
        <v>0</v>
      </c>
      <c r="V29" s="132">
        <f t="shared" si="19"/>
        <v>0</v>
      </c>
      <c r="W29" s="136">
        <f t="shared" si="24"/>
        <v>31864700</v>
      </c>
      <c r="X29" s="132">
        <f t="shared" si="25"/>
        <v>9</v>
      </c>
      <c r="Y29" s="133">
        <f t="shared" si="23"/>
        <v>0</v>
      </c>
      <c r="Z29" s="161">
        <f t="shared" si="20"/>
        <v>0</v>
      </c>
      <c r="AA29" s="130">
        <f>+S29-ภ.9!Q38</f>
        <v>31864700</v>
      </c>
      <c r="AB29" s="37">
        <f t="shared" si="26"/>
        <v>0</v>
      </c>
      <c r="AC29" s="80">
        <f>+S29-ภ.9!Q38</f>
        <v>31864700</v>
      </c>
      <c r="AD29" s="80">
        <f>+Y29-ภ.9!K38</f>
        <v>0</v>
      </c>
    </row>
    <row r="30" spans="1:30" x14ac:dyDescent="0.55000000000000004">
      <c r="A30" s="109">
        <v>25</v>
      </c>
      <c r="B30" s="108" t="s">
        <v>7</v>
      </c>
      <c r="C30" s="133">
        <f>+ศชต.!P21</f>
        <v>51871700</v>
      </c>
      <c r="D30" s="134">
        <f>+ศชต.!A21</f>
        <v>9</v>
      </c>
      <c r="E30" s="136">
        <f>+ศชต.!J21</f>
        <v>0</v>
      </c>
      <c r="F30" s="161">
        <f>+ศชต.!Q21</f>
        <v>0</v>
      </c>
      <c r="G30" s="136">
        <f t="shared" si="5"/>
        <v>51871700</v>
      </c>
      <c r="H30" s="135">
        <f t="shared" si="6"/>
        <v>9</v>
      </c>
      <c r="I30" s="136">
        <f>+ศชต.!K21</f>
        <v>0</v>
      </c>
      <c r="J30" s="134">
        <f>+ศชต.!R21</f>
        <v>0</v>
      </c>
      <c r="K30" s="133">
        <f>+ศชต.!P38</f>
        <v>202659600</v>
      </c>
      <c r="L30" s="134">
        <f>+ศชต.!A38</f>
        <v>14</v>
      </c>
      <c r="M30" s="133">
        <f>+ศชต.!J38</f>
        <v>0</v>
      </c>
      <c r="N30" s="134">
        <f>+ศชต.!Q38</f>
        <v>0</v>
      </c>
      <c r="O30" s="136">
        <f t="shared" si="7"/>
        <v>202659600</v>
      </c>
      <c r="P30" s="136">
        <f t="shared" si="8"/>
        <v>14</v>
      </c>
      <c r="Q30" s="133">
        <f>+ศชต.!K38</f>
        <v>0</v>
      </c>
      <c r="R30" s="110">
        <f>+ศชต.!R38</f>
        <v>0</v>
      </c>
      <c r="S30" s="133">
        <f t="shared" si="21"/>
        <v>254531300</v>
      </c>
      <c r="T30" s="132">
        <f t="shared" si="22"/>
        <v>23</v>
      </c>
      <c r="U30" s="136">
        <f t="shared" si="18"/>
        <v>0</v>
      </c>
      <c r="V30" s="132">
        <f t="shared" si="19"/>
        <v>0</v>
      </c>
      <c r="W30" s="136">
        <f t="shared" si="24"/>
        <v>254531300</v>
      </c>
      <c r="X30" s="132">
        <f t="shared" si="25"/>
        <v>23</v>
      </c>
      <c r="Y30" s="133">
        <f t="shared" si="23"/>
        <v>0</v>
      </c>
      <c r="Z30" s="161">
        <f t="shared" si="20"/>
        <v>0</v>
      </c>
      <c r="AA30" s="130">
        <f>+S30-ศชต.!Q55</f>
        <v>254531300</v>
      </c>
      <c r="AB30" s="37">
        <f t="shared" si="26"/>
        <v>0</v>
      </c>
      <c r="AC30" s="80">
        <f>+S30-ศชต.!Q55</f>
        <v>254531300</v>
      </c>
      <c r="AD30" s="80">
        <f>+Y30-ศชต.!K55</f>
        <v>0</v>
      </c>
    </row>
    <row r="31" spans="1:30" x14ac:dyDescent="0.55000000000000004">
      <c r="A31" s="109">
        <v>26</v>
      </c>
      <c r="B31" s="108" t="s">
        <v>16</v>
      </c>
      <c r="C31" s="133">
        <f>+บช.ก.!P29</f>
        <v>32845300</v>
      </c>
      <c r="D31" s="135">
        <f>+บช.ก.!A29</f>
        <v>17</v>
      </c>
      <c r="E31" s="136">
        <f>+บช.ก.!J29</f>
        <v>0</v>
      </c>
      <c r="F31" s="161">
        <f>+บช.ก.!Q29</f>
        <v>0</v>
      </c>
      <c r="G31" s="136">
        <f t="shared" si="5"/>
        <v>32845300</v>
      </c>
      <c r="H31" s="135">
        <f t="shared" si="6"/>
        <v>17</v>
      </c>
      <c r="I31" s="136">
        <f>+บช.ก.!K29</f>
        <v>0</v>
      </c>
      <c r="J31" s="135">
        <f>+บช.ก.!R29</f>
        <v>0</v>
      </c>
      <c r="K31" s="133">
        <f>+บช.ก.!P33</f>
        <v>8817000</v>
      </c>
      <c r="L31" s="136">
        <f>+บช.ก.!A33</f>
        <v>1</v>
      </c>
      <c r="M31" s="133">
        <f>+บช.ก.!J33</f>
        <v>0</v>
      </c>
      <c r="N31" s="134">
        <f>+บช.ก.!Q33</f>
        <v>0</v>
      </c>
      <c r="O31" s="136">
        <f t="shared" si="7"/>
        <v>8817000</v>
      </c>
      <c r="P31" s="136">
        <f t="shared" si="8"/>
        <v>1</v>
      </c>
      <c r="Q31" s="133">
        <f>+บช.ก.!K33</f>
        <v>0</v>
      </c>
      <c r="R31" s="110">
        <f>+บช.ก.!R33</f>
        <v>0</v>
      </c>
      <c r="S31" s="133">
        <f t="shared" si="21"/>
        <v>41662300</v>
      </c>
      <c r="T31" s="132">
        <f t="shared" si="22"/>
        <v>18</v>
      </c>
      <c r="U31" s="136">
        <f t="shared" si="18"/>
        <v>0</v>
      </c>
      <c r="V31" s="132">
        <f t="shared" si="19"/>
        <v>0</v>
      </c>
      <c r="W31" s="136">
        <f t="shared" si="24"/>
        <v>41662300</v>
      </c>
      <c r="X31" s="132">
        <f t="shared" si="25"/>
        <v>18</v>
      </c>
      <c r="Y31" s="133">
        <f t="shared" si="23"/>
        <v>0</v>
      </c>
      <c r="Z31" s="161">
        <f t="shared" si="20"/>
        <v>0</v>
      </c>
      <c r="AA31" s="130">
        <f>+S31-บช.ก.!Q51</f>
        <v>41662300</v>
      </c>
      <c r="AB31" s="37">
        <f t="shared" si="26"/>
        <v>0</v>
      </c>
      <c r="AC31" s="80">
        <f>+S31-บช.ก.!Q51</f>
        <v>41662300</v>
      </c>
      <c r="AD31" s="80">
        <f>+Y31-บช.ก.!K51</f>
        <v>0</v>
      </c>
    </row>
    <row r="32" spans="1:30" x14ac:dyDescent="0.55000000000000004">
      <c r="A32" s="109"/>
      <c r="B32" s="108" t="s">
        <v>104</v>
      </c>
      <c r="C32" s="133">
        <f>+รน.!M12</f>
        <v>0</v>
      </c>
      <c r="D32" s="135">
        <f>+รน.!A12</f>
        <v>0</v>
      </c>
      <c r="E32" s="136">
        <f>+รน.!J12</f>
        <v>0</v>
      </c>
      <c r="F32" s="161">
        <f>+รน.!N12</f>
        <v>0</v>
      </c>
      <c r="G32" s="136">
        <f t="shared" si="5"/>
        <v>0</v>
      </c>
      <c r="H32" s="135">
        <f t="shared" si="6"/>
        <v>0</v>
      </c>
      <c r="I32" s="136">
        <f>+รน.!K12</f>
        <v>0</v>
      </c>
      <c r="J32" s="135">
        <f>+รน.!O12</f>
        <v>0</v>
      </c>
      <c r="K32" s="133">
        <f>+รน.!M15</f>
        <v>0</v>
      </c>
      <c r="L32" s="134">
        <f>+รน.!A15</f>
        <v>0</v>
      </c>
      <c r="M32" s="133">
        <f>+รน.!J15</f>
        <v>0</v>
      </c>
      <c r="N32" s="134">
        <f>+รน.!N15</f>
        <v>0</v>
      </c>
      <c r="O32" s="136">
        <f t="shared" si="7"/>
        <v>0</v>
      </c>
      <c r="P32" s="136">
        <f t="shared" si="8"/>
        <v>0</v>
      </c>
      <c r="Q32" s="133">
        <f>+รน.!K15</f>
        <v>0</v>
      </c>
      <c r="R32" s="110">
        <f>+รน.!O15</f>
        <v>0</v>
      </c>
      <c r="S32" s="133">
        <f t="shared" ref="S32:Z32" si="27">+C32+K32</f>
        <v>0</v>
      </c>
      <c r="T32" s="132">
        <f t="shared" si="27"/>
        <v>0</v>
      </c>
      <c r="U32" s="136">
        <f t="shared" si="27"/>
        <v>0</v>
      </c>
      <c r="V32" s="132">
        <f t="shared" si="27"/>
        <v>0</v>
      </c>
      <c r="W32" s="136">
        <f t="shared" si="27"/>
        <v>0</v>
      </c>
      <c r="X32" s="132">
        <f t="shared" si="27"/>
        <v>0</v>
      </c>
      <c r="Y32" s="133">
        <f t="shared" si="27"/>
        <v>0</v>
      </c>
      <c r="Z32" s="161">
        <f t="shared" si="27"/>
        <v>0</v>
      </c>
      <c r="AA32" s="130">
        <f>+S32-รน.!N21</f>
        <v>0</v>
      </c>
      <c r="AB32" s="37" t="e">
        <f>+Y32*100/S32</f>
        <v>#DIV/0!</v>
      </c>
      <c r="AC32" s="80">
        <f>+S32-รน.!N21</f>
        <v>0</v>
      </c>
      <c r="AD32" s="80">
        <f>+Y32-รน.!K21</f>
        <v>0</v>
      </c>
    </row>
    <row r="33" spans="1:30" x14ac:dyDescent="0.55000000000000004">
      <c r="A33" s="109">
        <v>27</v>
      </c>
      <c r="B33" s="108" t="s">
        <v>30</v>
      </c>
      <c r="C33" s="133">
        <f>+บช.ปส.!P53</f>
        <v>690950900</v>
      </c>
      <c r="D33" s="135">
        <f>+บช.ปส.!A27</f>
        <v>14</v>
      </c>
      <c r="E33" s="136">
        <f>+บช.ปส.!J53</f>
        <v>0</v>
      </c>
      <c r="F33" s="161">
        <f>+บช.ปส.!Q53</f>
        <v>0</v>
      </c>
      <c r="G33" s="136">
        <f t="shared" si="5"/>
        <v>690950900</v>
      </c>
      <c r="H33" s="135">
        <f t="shared" si="6"/>
        <v>14</v>
      </c>
      <c r="I33" s="136">
        <f>+บช.ปส.!K53</f>
        <v>0</v>
      </c>
      <c r="J33" s="135">
        <f>+บช.ปส.!R53</f>
        <v>0</v>
      </c>
      <c r="K33" s="133">
        <f>+บช.ปส.!P57</f>
        <v>0</v>
      </c>
      <c r="L33" s="136">
        <f>+บช.ปส.!A42</f>
        <v>0</v>
      </c>
      <c r="M33" s="133">
        <f>+บช.ปส.!J57</f>
        <v>0</v>
      </c>
      <c r="N33" s="136">
        <f>+บช.ปส.!Q57</f>
        <v>0</v>
      </c>
      <c r="O33" s="136">
        <f t="shared" si="7"/>
        <v>0</v>
      </c>
      <c r="P33" s="136">
        <f t="shared" si="8"/>
        <v>0</v>
      </c>
      <c r="Q33" s="133">
        <f>+บช.ปส.!K57</f>
        <v>0</v>
      </c>
      <c r="R33" s="110">
        <f>+บช.ปส.!R57</f>
        <v>0</v>
      </c>
      <c r="S33" s="133">
        <f t="shared" si="21"/>
        <v>690950900</v>
      </c>
      <c r="T33" s="132">
        <f t="shared" si="22"/>
        <v>14</v>
      </c>
      <c r="U33" s="136">
        <f t="shared" si="18"/>
        <v>0</v>
      </c>
      <c r="V33" s="132">
        <f t="shared" si="19"/>
        <v>0</v>
      </c>
      <c r="W33" s="136">
        <f t="shared" si="24"/>
        <v>690950900</v>
      </c>
      <c r="X33" s="132">
        <f t="shared" si="25"/>
        <v>14</v>
      </c>
      <c r="Y33" s="133">
        <f t="shared" si="23"/>
        <v>0</v>
      </c>
      <c r="Z33" s="161">
        <f t="shared" si="20"/>
        <v>0</v>
      </c>
      <c r="AA33" s="130">
        <f>+S33-บช.ปส.!Q102</f>
        <v>690950900</v>
      </c>
      <c r="AB33" s="37">
        <f t="shared" si="26"/>
        <v>0</v>
      </c>
      <c r="AC33" s="80">
        <f>+S33-บช.ปส.!Q102</f>
        <v>690950900</v>
      </c>
      <c r="AD33" s="80">
        <f>+Y33-บช.ปส.!K102</f>
        <v>0</v>
      </c>
    </row>
    <row r="34" spans="1:30" x14ac:dyDescent="0.55000000000000004">
      <c r="A34" s="109">
        <v>28</v>
      </c>
      <c r="B34" s="108" t="s">
        <v>11</v>
      </c>
      <c r="C34" s="133">
        <f>+บช.ส.!P15</f>
        <v>225781000</v>
      </c>
      <c r="D34" s="135">
        <f>+บช.ส.!A15</f>
        <v>3</v>
      </c>
      <c r="E34" s="136" t="e">
        <f>+บช.ส.!J15</f>
        <v>#REF!</v>
      </c>
      <c r="F34" s="161">
        <f>+บช.ส.!Q15</f>
        <v>0</v>
      </c>
      <c r="G34" s="136" t="e">
        <f t="shared" si="5"/>
        <v>#REF!</v>
      </c>
      <c r="H34" s="135">
        <f t="shared" si="6"/>
        <v>3</v>
      </c>
      <c r="I34" s="136" t="e">
        <f>+บช.ส.!K15</f>
        <v>#REF!</v>
      </c>
      <c r="J34" s="135">
        <f>+บช.ส.!R15</f>
        <v>0</v>
      </c>
      <c r="K34" s="133">
        <f>+บช.ส.!P21</f>
        <v>62472100</v>
      </c>
      <c r="L34" s="134">
        <f>+บช.ส.!A21</f>
        <v>3</v>
      </c>
      <c r="M34" s="133">
        <f>+บช.ส.!J21</f>
        <v>0</v>
      </c>
      <c r="N34" s="134">
        <f>+บช.ส.!Q21</f>
        <v>0</v>
      </c>
      <c r="O34" s="136">
        <f t="shared" si="7"/>
        <v>62472100</v>
      </c>
      <c r="P34" s="136">
        <f t="shared" si="8"/>
        <v>3</v>
      </c>
      <c r="Q34" s="133">
        <f>+บช.ส.!K21</f>
        <v>0</v>
      </c>
      <c r="R34" s="110">
        <f>+บช.ส.!R21</f>
        <v>0</v>
      </c>
      <c r="S34" s="133">
        <f t="shared" si="21"/>
        <v>288253100</v>
      </c>
      <c r="T34" s="132">
        <f t="shared" si="22"/>
        <v>6</v>
      </c>
      <c r="U34" s="136" t="e">
        <f t="shared" si="18"/>
        <v>#REF!</v>
      </c>
      <c r="V34" s="132">
        <f t="shared" si="19"/>
        <v>0</v>
      </c>
      <c r="W34" s="136" t="e">
        <f t="shared" si="24"/>
        <v>#REF!</v>
      </c>
      <c r="X34" s="132">
        <f t="shared" si="25"/>
        <v>6</v>
      </c>
      <c r="Y34" s="133" t="e">
        <f t="shared" si="23"/>
        <v>#REF!</v>
      </c>
      <c r="Z34" s="161">
        <f t="shared" si="20"/>
        <v>0</v>
      </c>
      <c r="AA34" s="130">
        <f>+S34-บช.ส.!Q28</f>
        <v>288253100</v>
      </c>
      <c r="AB34" s="37" t="e">
        <f t="shared" si="26"/>
        <v>#REF!</v>
      </c>
      <c r="AC34" s="80">
        <f>+S34-บช.ส.!Q28</f>
        <v>288253100</v>
      </c>
      <c r="AD34" s="80" t="e">
        <f>+Y34-บช.ส.!K28</f>
        <v>#REF!</v>
      </c>
    </row>
    <row r="35" spans="1:30" x14ac:dyDescent="0.55000000000000004">
      <c r="A35" s="109">
        <v>29</v>
      </c>
      <c r="B35" s="108" t="s">
        <v>17</v>
      </c>
      <c r="C35" s="133">
        <f>+สตม.!P22</f>
        <v>0</v>
      </c>
      <c r="D35" s="135">
        <f>+สตม.!A22</f>
        <v>0</v>
      </c>
      <c r="E35" s="136">
        <f>+สตม.!J22</f>
        <v>0</v>
      </c>
      <c r="F35" s="161">
        <f>+สตม.!Q22</f>
        <v>0</v>
      </c>
      <c r="G35" s="136">
        <f t="shared" si="5"/>
        <v>0</v>
      </c>
      <c r="H35" s="135">
        <f t="shared" si="6"/>
        <v>0</v>
      </c>
      <c r="I35" s="136">
        <f>+สตม.!K22</f>
        <v>0</v>
      </c>
      <c r="J35" s="135">
        <f>+สตม.!R22</f>
        <v>0</v>
      </c>
      <c r="K35" s="133">
        <f>+สตม.!P33</f>
        <v>200790800</v>
      </c>
      <c r="L35" s="134">
        <f>+สตม.!A33</f>
        <v>8</v>
      </c>
      <c r="M35" s="133">
        <f>+สตม.!J33</f>
        <v>0</v>
      </c>
      <c r="N35" s="134">
        <f>+สตม.!Q33</f>
        <v>0</v>
      </c>
      <c r="O35" s="136">
        <f t="shared" si="7"/>
        <v>200790800</v>
      </c>
      <c r="P35" s="136">
        <f t="shared" si="8"/>
        <v>8</v>
      </c>
      <c r="Q35" s="133">
        <f>+สตม.!K33</f>
        <v>0</v>
      </c>
      <c r="R35" s="110">
        <f>+สตม.!R33</f>
        <v>0</v>
      </c>
      <c r="S35" s="133">
        <f t="shared" si="21"/>
        <v>200790800</v>
      </c>
      <c r="T35" s="132">
        <f t="shared" si="22"/>
        <v>8</v>
      </c>
      <c r="U35" s="136">
        <f t="shared" si="18"/>
        <v>0</v>
      </c>
      <c r="V35" s="132">
        <f t="shared" si="19"/>
        <v>0</v>
      </c>
      <c r="W35" s="136">
        <f t="shared" si="24"/>
        <v>200790800</v>
      </c>
      <c r="X35" s="132">
        <f t="shared" si="25"/>
        <v>8</v>
      </c>
      <c r="Y35" s="133">
        <f t="shared" si="23"/>
        <v>0</v>
      </c>
      <c r="Z35" s="161">
        <f t="shared" si="20"/>
        <v>0</v>
      </c>
      <c r="AA35" s="130">
        <f>+S35-สตม.!Q44</f>
        <v>200790800</v>
      </c>
      <c r="AB35" s="37">
        <f t="shared" si="26"/>
        <v>0</v>
      </c>
      <c r="AC35" s="80">
        <f>+S35-สตม.!Q44</f>
        <v>200790800</v>
      </c>
      <c r="AD35" s="80">
        <f>+Y35-สตม.!K44</f>
        <v>0</v>
      </c>
    </row>
    <row r="36" spans="1:30" x14ac:dyDescent="0.55000000000000004">
      <c r="A36" s="109">
        <v>30</v>
      </c>
      <c r="B36" s="251" t="s">
        <v>0</v>
      </c>
      <c r="C36" s="133">
        <f>+บช.ตชด.!P22</f>
        <v>59777000</v>
      </c>
      <c r="D36" s="135">
        <f>+บช.ตชด.!A22</f>
        <v>10</v>
      </c>
      <c r="E36" s="136">
        <f>+บช.ตชด.!J22</f>
        <v>0</v>
      </c>
      <c r="F36" s="161">
        <f>+บช.ตชด.!Q22</f>
        <v>0</v>
      </c>
      <c r="G36" s="136">
        <f t="shared" si="5"/>
        <v>59777000</v>
      </c>
      <c r="H36" s="135">
        <f t="shared" si="6"/>
        <v>10</v>
      </c>
      <c r="I36" s="136">
        <f>+บช.ตชด.!K22</f>
        <v>0</v>
      </c>
      <c r="J36" s="135">
        <f>+บช.ตชด.!R22</f>
        <v>0</v>
      </c>
      <c r="K36" s="133">
        <f>+บช.ตชด.!P54</f>
        <v>169343800</v>
      </c>
      <c r="L36" s="134">
        <f>+บช.ตชด.!A54</f>
        <v>29</v>
      </c>
      <c r="M36" s="133">
        <f>+บช.ตชด.!J54</f>
        <v>0</v>
      </c>
      <c r="N36" s="134">
        <f>+บช.ตชด.!Q54</f>
        <v>0</v>
      </c>
      <c r="O36" s="136">
        <f t="shared" si="7"/>
        <v>169343800</v>
      </c>
      <c r="P36" s="136">
        <f t="shared" si="8"/>
        <v>29</v>
      </c>
      <c r="Q36" s="133">
        <f>+บช.ตชด.!K54</f>
        <v>0</v>
      </c>
      <c r="R36" s="110">
        <f>+บช.ตชด.!R54</f>
        <v>0</v>
      </c>
      <c r="S36" s="133">
        <f t="shared" si="21"/>
        <v>229120800</v>
      </c>
      <c r="T36" s="132">
        <f t="shared" si="22"/>
        <v>39</v>
      </c>
      <c r="U36" s="136">
        <f t="shared" si="18"/>
        <v>0</v>
      </c>
      <c r="V36" s="132">
        <f t="shared" si="19"/>
        <v>0</v>
      </c>
      <c r="W36" s="136">
        <f t="shared" si="24"/>
        <v>229120800</v>
      </c>
      <c r="X36" s="132">
        <f t="shared" si="25"/>
        <v>39</v>
      </c>
      <c r="Y36" s="133">
        <f t="shared" si="23"/>
        <v>0</v>
      </c>
      <c r="Z36" s="161">
        <f t="shared" si="20"/>
        <v>0</v>
      </c>
      <c r="AA36" s="130">
        <f>+S36-บช.ตชด.!Q80</f>
        <v>229120800</v>
      </c>
      <c r="AB36" s="37">
        <f t="shared" si="26"/>
        <v>0</v>
      </c>
      <c r="AC36" s="80">
        <f>+S36-บช.ตชด.!Q80</f>
        <v>229120800</v>
      </c>
      <c r="AD36" s="80">
        <f>+Y36-บช.ตชด.!K80</f>
        <v>0</v>
      </c>
    </row>
    <row r="37" spans="1:30" x14ac:dyDescent="0.55000000000000004">
      <c r="A37" s="109">
        <v>31</v>
      </c>
      <c r="B37" s="251" t="s">
        <v>153</v>
      </c>
      <c r="C37" s="133">
        <f>+สง.นรป.!P13</f>
        <v>3300000</v>
      </c>
      <c r="D37" s="135">
        <f>+สง.นรป.!A13</f>
        <v>1</v>
      </c>
      <c r="E37" s="136">
        <f>+สง.นรป.!J13</f>
        <v>0</v>
      </c>
      <c r="F37" s="161">
        <f>+สง.นรป.!Q13</f>
        <v>0</v>
      </c>
      <c r="G37" s="136">
        <f t="shared" si="5"/>
        <v>3300000</v>
      </c>
      <c r="H37" s="135">
        <f t="shared" si="6"/>
        <v>1</v>
      </c>
      <c r="I37" s="136">
        <f>+สง.นรป.!K13</f>
        <v>0</v>
      </c>
      <c r="J37" s="135">
        <f>+สง.นรป.!R13</f>
        <v>0</v>
      </c>
      <c r="K37" s="133">
        <f>+สง.นรป.!P17</f>
        <v>0</v>
      </c>
      <c r="L37" s="134">
        <f>+สง.นรป.!A17</f>
        <v>0</v>
      </c>
      <c r="M37" s="133">
        <f>+สง.นรป.!J17</f>
        <v>0</v>
      </c>
      <c r="N37" s="134">
        <f>+สง.นรป.!Q17</f>
        <v>0</v>
      </c>
      <c r="O37" s="136">
        <f t="shared" si="7"/>
        <v>0</v>
      </c>
      <c r="P37" s="136">
        <f t="shared" si="8"/>
        <v>0</v>
      </c>
      <c r="Q37" s="133">
        <f>+สง.นรป.!K17</f>
        <v>0</v>
      </c>
      <c r="R37" s="110">
        <f>+สง.นรป.!R17</f>
        <v>0</v>
      </c>
      <c r="S37" s="133"/>
      <c r="T37" s="132"/>
      <c r="U37" s="136"/>
      <c r="V37" s="132"/>
      <c r="W37" s="136"/>
      <c r="X37" s="132"/>
      <c r="Y37" s="133"/>
      <c r="Z37" s="161"/>
      <c r="AA37" s="130"/>
      <c r="AC37" s="80"/>
      <c r="AD37" s="80"/>
    </row>
    <row r="38" spans="1:30" x14ac:dyDescent="0.55000000000000004">
      <c r="A38" s="109">
        <v>32</v>
      </c>
      <c r="B38" s="26" t="s">
        <v>5</v>
      </c>
      <c r="C38" s="133">
        <f>+สพฐ.ตร.!P13</f>
        <v>5500000</v>
      </c>
      <c r="D38" s="135">
        <f>+สพฐ.ตร.!A13</f>
        <v>1</v>
      </c>
      <c r="E38" s="136">
        <f>+สพฐ.ตร.!J13</f>
        <v>0</v>
      </c>
      <c r="F38" s="161">
        <f>+สพฐ.ตร.!Q13</f>
        <v>0</v>
      </c>
      <c r="G38" s="136">
        <f t="shared" si="5"/>
        <v>5500000</v>
      </c>
      <c r="H38" s="135">
        <f t="shared" si="6"/>
        <v>1</v>
      </c>
      <c r="I38" s="136">
        <f>+สพฐ.ตร.!K13</f>
        <v>0</v>
      </c>
      <c r="J38" s="135">
        <f>+สพฐ.ตร.!R13</f>
        <v>0</v>
      </c>
      <c r="K38" s="133">
        <f>+สพฐ.ตร.!P18</f>
        <v>24756800</v>
      </c>
      <c r="L38" s="134">
        <f>+สพฐ.ตร.!A18</f>
        <v>2</v>
      </c>
      <c r="M38" s="133">
        <f>+สพฐ.ตร.!J18</f>
        <v>0</v>
      </c>
      <c r="N38" s="134">
        <f>+สพฐ.ตร.!Q18</f>
        <v>0</v>
      </c>
      <c r="O38" s="136">
        <f t="shared" si="7"/>
        <v>24756800</v>
      </c>
      <c r="P38" s="136">
        <f t="shared" si="8"/>
        <v>2</v>
      </c>
      <c r="Q38" s="133">
        <f>+สพฐ.ตร.!K18</f>
        <v>0</v>
      </c>
      <c r="R38" s="110">
        <f>+สพฐ.ตร.!R18</f>
        <v>0</v>
      </c>
      <c r="S38" s="133">
        <f t="shared" si="21"/>
        <v>30256800</v>
      </c>
      <c r="T38" s="132">
        <f t="shared" si="22"/>
        <v>3</v>
      </c>
      <c r="U38" s="136">
        <f t="shared" si="18"/>
        <v>0</v>
      </c>
      <c r="V38" s="132">
        <f t="shared" si="19"/>
        <v>0</v>
      </c>
      <c r="W38" s="136">
        <f t="shared" si="24"/>
        <v>30256800</v>
      </c>
      <c r="X38" s="132">
        <f t="shared" si="25"/>
        <v>3</v>
      </c>
      <c r="Y38" s="133">
        <f t="shared" si="23"/>
        <v>0</v>
      </c>
      <c r="Z38" s="161">
        <f t="shared" si="20"/>
        <v>0</v>
      </c>
      <c r="AA38" s="130">
        <f>+S38-สพฐ.ตร.!Q50</f>
        <v>30256800</v>
      </c>
      <c r="AB38" s="37">
        <f t="shared" si="26"/>
        <v>0</v>
      </c>
      <c r="AC38" s="80">
        <f>+S38-สพฐ.ตร.!Q50</f>
        <v>30256800</v>
      </c>
      <c r="AD38" s="80">
        <f>+Y38-สพฐ.ตร.!K50</f>
        <v>0</v>
      </c>
    </row>
    <row r="39" spans="1:30" x14ac:dyDescent="0.55000000000000004">
      <c r="A39" s="109">
        <v>33</v>
      </c>
      <c r="B39" s="108" t="s">
        <v>2</v>
      </c>
      <c r="C39" s="133">
        <f>+สทส.!P19</f>
        <v>207419900</v>
      </c>
      <c r="D39" s="135">
        <f>+สทส.!A19</f>
        <v>7</v>
      </c>
      <c r="E39" s="136" t="e">
        <f>+สทส.!J19</f>
        <v>#REF!</v>
      </c>
      <c r="F39" s="161">
        <f>+สทส.!Q19</f>
        <v>0</v>
      </c>
      <c r="G39" s="136" t="e">
        <f t="shared" si="5"/>
        <v>#REF!</v>
      </c>
      <c r="H39" s="135">
        <f t="shared" si="6"/>
        <v>7</v>
      </c>
      <c r="I39" s="136" t="e">
        <f>+สทส.!K19</f>
        <v>#REF!</v>
      </c>
      <c r="J39" s="135">
        <f>+สทส.!R19</f>
        <v>0</v>
      </c>
      <c r="K39" s="133">
        <f>+สทส.!P24</f>
        <v>29473200</v>
      </c>
      <c r="L39" s="134">
        <f>+สทส.!A24</f>
        <v>2</v>
      </c>
      <c r="M39" s="133">
        <f>+สทส.!J24</f>
        <v>0</v>
      </c>
      <c r="N39" s="134">
        <f>+สทส.!Q24</f>
        <v>0</v>
      </c>
      <c r="O39" s="136">
        <f t="shared" si="7"/>
        <v>29473200</v>
      </c>
      <c r="P39" s="136">
        <f t="shared" si="8"/>
        <v>2</v>
      </c>
      <c r="Q39" s="133">
        <f>+สทส.!K24</f>
        <v>0</v>
      </c>
      <c r="R39" s="110">
        <f>+สทส.!R24</f>
        <v>0</v>
      </c>
      <c r="S39" s="133">
        <f t="shared" si="21"/>
        <v>236893100</v>
      </c>
      <c r="T39" s="132">
        <f t="shared" si="22"/>
        <v>9</v>
      </c>
      <c r="U39" s="136" t="e">
        <f t="shared" si="18"/>
        <v>#REF!</v>
      </c>
      <c r="V39" s="132">
        <f t="shared" si="19"/>
        <v>0</v>
      </c>
      <c r="W39" s="136" t="e">
        <f t="shared" si="24"/>
        <v>#REF!</v>
      </c>
      <c r="X39" s="132">
        <f t="shared" si="25"/>
        <v>9</v>
      </c>
      <c r="Y39" s="133" t="e">
        <f t="shared" si="23"/>
        <v>#REF!</v>
      </c>
      <c r="Z39" s="161">
        <f t="shared" si="20"/>
        <v>0</v>
      </c>
      <c r="AA39" s="130">
        <f>+S39-สทส.!Q31</f>
        <v>236893100</v>
      </c>
      <c r="AB39" s="37" t="e">
        <f t="shared" si="26"/>
        <v>#REF!</v>
      </c>
      <c r="AC39" s="80">
        <f>+S39-สทส.!Q31</f>
        <v>236893100</v>
      </c>
      <c r="AD39" s="80" t="e">
        <f>+Y39-สทส.!K31</f>
        <v>#REF!</v>
      </c>
    </row>
    <row r="40" spans="1:30" x14ac:dyDescent="0.55000000000000004">
      <c r="A40" s="109">
        <v>34</v>
      </c>
      <c r="B40" s="108" t="s">
        <v>34</v>
      </c>
      <c r="C40" s="133">
        <f>+บช.ศ.!P25</f>
        <v>50666300</v>
      </c>
      <c r="D40" s="135">
        <f>+บช.ศ.!A25</f>
        <v>13</v>
      </c>
      <c r="E40" s="136">
        <f>+บช.ศ.!J25</f>
        <v>0</v>
      </c>
      <c r="F40" s="161">
        <f>+บช.ศ.!Q25</f>
        <v>0</v>
      </c>
      <c r="G40" s="136">
        <f t="shared" si="5"/>
        <v>50666300</v>
      </c>
      <c r="H40" s="135">
        <f t="shared" si="6"/>
        <v>13</v>
      </c>
      <c r="I40" s="136">
        <f>+บช.ศ.!K25</f>
        <v>0</v>
      </c>
      <c r="J40" s="135">
        <f>+บช.ศ.!R25</f>
        <v>0</v>
      </c>
      <c r="K40" s="133">
        <f>+บช.ศ.!P37</f>
        <v>252402000</v>
      </c>
      <c r="L40" s="134">
        <f>+บช.ศ.!A37</f>
        <v>8</v>
      </c>
      <c r="M40" s="133">
        <f>+บช.ศ.!J37</f>
        <v>0</v>
      </c>
      <c r="N40" s="134">
        <f>+บช.ศ.!Q37</f>
        <v>0</v>
      </c>
      <c r="O40" s="136">
        <f t="shared" si="7"/>
        <v>252402000</v>
      </c>
      <c r="P40" s="136">
        <f t="shared" si="8"/>
        <v>8</v>
      </c>
      <c r="Q40" s="133">
        <f>+บช.ศ.!K37</f>
        <v>0</v>
      </c>
      <c r="R40" s="110">
        <f>+บช.ศ.!R37</f>
        <v>0</v>
      </c>
      <c r="S40" s="133">
        <f t="shared" si="21"/>
        <v>303068300</v>
      </c>
      <c r="T40" s="132">
        <f t="shared" si="22"/>
        <v>21</v>
      </c>
      <c r="U40" s="136">
        <f t="shared" si="18"/>
        <v>0</v>
      </c>
      <c r="V40" s="132">
        <f t="shared" si="19"/>
        <v>0</v>
      </c>
      <c r="W40" s="136">
        <f t="shared" si="24"/>
        <v>303068300</v>
      </c>
      <c r="X40" s="132">
        <f t="shared" si="25"/>
        <v>21</v>
      </c>
      <c r="Y40" s="133">
        <f t="shared" si="23"/>
        <v>0</v>
      </c>
      <c r="Z40" s="161">
        <f t="shared" si="20"/>
        <v>0</v>
      </c>
      <c r="AA40" s="130">
        <f>+S40-บช.ศ.!Q39</f>
        <v>303068300</v>
      </c>
      <c r="AB40" s="37">
        <f t="shared" si="26"/>
        <v>0</v>
      </c>
      <c r="AC40" s="80">
        <f>+S40-บช.ศ.!Q39</f>
        <v>303068300</v>
      </c>
      <c r="AD40" s="80">
        <f>+Y40-บช.ศ.!K39</f>
        <v>0</v>
      </c>
    </row>
    <row r="41" spans="1:30" x14ac:dyDescent="0.55000000000000004">
      <c r="A41" s="109">
        <v>35</v>
      </c>
      <c r="B41" s="108" t="s">
        <v>35</v>
      </c>
      <c r="C41" s="133">
        <f>+รร.นรต.!P14</f>
        <v>10908700</v>
      </c>
      <c r="D41" s="135">
        <f>+รร.นรต.!A14</f>
        <v>2</v>
      </c>
      <c r="E41" s="136" t="e">
        <f>+รร.นรต.!J14</f>
        <v>#REF!</v>
      </c>
      <c r="F41" s="161">
        <f>+รร.นรต.!Q14</f>
        <v>0</v>
      </c>
      <c r="G41" s="136" t="e">
        <f t="shared" si="5"/>
        <v>#REF!</v>
      </c>
      <c r="H41" s="135">
        <f t="shared" si="6"/>
        <v>2</v>
      </c>
      <c r="I41" s="136" t="e">
        <f>+รร.นรต.!K14</f>
        <v>#REF!</v>
      </c>
      <c r="J41" s="135">
        <f>+รร.นรต.!R14</f>
        <v>0</v>
      </c>
      <c r="K41" s="133">
        <f>+รร.นรต.!P18</f>
        <v>0</v>
      </c>
      <c r="L41" s="134">
        <f>+รร.นรต.!A18</f>
        <v>0</v>
      </c>
      <c r="M41" s="133">
        <f>+รร.นรต.!J18</f>
        <v>0</v>
      </c>
      <c r="N41" s="134">
        <f>+รร.นรต.!Q18</f>
        <v>0</v>
      </c>
      <c r="O41" s="136">
        <f t="shared" si="7"/>
        <v>0</v>
      </c>
      <c r="P41" s="136">
        <f t="shared" si="8"/>
        <v>0</v>
      </c>
      <c r="Q41" s="133">
        <f>+รร.นรต.!K18</f>
        <v>0</v>
      </c>
      <c r="R41" s="110">
        <f>+รร.นรต.!R18</f>
        <v>0</v>
      </c>
      <c r="S41" s="133">
        <f t="shared" ref="S41:Z41" si="28">+C41+K41</f>
        <v>10908700</v>
      </c>
      <c r="T41" s="132">
        <f t="shared" si="28"/>
        <v>2</v>
      </c>
      <c r="U41" s="136" t="e">
        <f t="shared" si="28"/>
        <v>#REF!</v>
      </c>
      <c r="V41" s="132">
        <f t="shared" si="28"/>
        <v>0</v>
      </c>
      <c r="W41" s="136" t="e">
        <f t="shared" si="28"/>
        <v>#REF!</v>
      </c>
      <c r="X41" s="132">
        <f t="shared" si="28"/>
        <v>2</v>
      </c>
      <c r="Y41" s="133" t="e">
        <f t="shared" si="28"/>
        <v>#REF!</v>
      </c>
      <c r="Z41" s="161">
        <f t="shared" si="28"/>
        <v>0</v>
      </c>
      <c r="AA41" s="130">
        <f>+S41-รร.นรต.!Q26</f>
        <v>10908700</v>
      </c>
      <c r="AB41" s="37" t="e">
        <f>+Y41*100/S41</f>
        <v>#REF!</v>
      </c>
      <c r="AC41" s="80">
        <f>+S41-รร.นรต.!Q26</f>
        <v>10908700</v>
      </c>
      <c r="AD41" s="80" t="e">
        <f>+Y41-รร.นรต.!K26</f>
        <v>#REF!</v>
      </c>
    </row>
    <row r="42" spans="1:30" x14ac:dyDescent="0.55000000000000004">
      <c r="A42" s="109">
        <v>36</v>
      </c>
      <c r="B42" s="108" t="s">
        <v>28</v>
      </c>
      <c r="C42" s="133">
        <f>+รพ.ตร.!P14</f>
        <v>940500</v>
      </c>
      <c r="D42" s="135">
        <f>+รพ.ตร.!A14</f>
        <v>2</v>
      </c>
      <c r="E42" s="136">
        <f>+รพ.ตร.!J14</f>
        <v>0</v>
      </c>
      <c r="F42" s="161">
        <f>+รพ.ตร.!Q14</f>
        <v>0</v>
      </c>
      <c r="G42" s="136">
        <f t="shared" si="5"/>
        <v>940500</v>
      </c>
      <c r="H42" s="135">
        <f t="shared" si="6"/>
        <v>2</v>
      </c>
      <c r="I42" s="136">
        <f>+รพ.ตร.!K14</f>
        <v>0</v>
      </c>
      <c r="J42" s="135">
        <f>+รพ.ตร.!R14</f>
        <v>0</v>
      </c>
      <c r="K42" s="133">
        <f>+รพ.ตร.!P18</f>
        <v>0</v>
      </c>
      <c r="L42" s="136">
        <f>+รพ.ตร.!A18</f>
        <v>0</v>
      </c>
      <c r="M42" s="133">
        <f>+รพ.ตร.!J18</f>
        <v>0</v>
      </c>
      <c r="N42" s="136">
        <f>+รพ.ตร.!Q18</f>
        <v>0</v>
      </c>
      <c r="O42" s="136">
        <f t="shared" si="7"/>
        <v>0</v>
      </c>
      <c r="P42" s="136">
        <f t="shared" si="8"/>
        <v>0</v>
      </c>
      <c r="Q42" s="133">
        <f>+รพ.ตร.!K18</f>
        <v>0</v>
      </c>
      <c r="R42" s="110">
        <f>+รพ.ตร.!R18</f>
        <v>0</v>
      </c>
      <c r="S42" s="133">
        <f t="shared" si="21"/>
        <v>940500</v>
      </c>
      <c r="T42" s="132">
        <f t="shared" si="22"/>
        <v>2</v>
      </c>
      <c r="U42" s="136">
        <f t="shared" si="18"/>
        <v>0</v>
      </c>
      <c r="V42" s="132">
        <f t="shared" si="19"/>
        <v>0</v>
      </c>
      <c r="W42" s="136">
        <f t="shared" si="24"/>
        <v>940500</v>
      </c>
      <c r="X42" s="132">
        <f t="shared" si="25"/>
        <v>2</v>
      </c>
      <c r="Y42" s="133">
        <f t="shared" si="23"/>
        <v>0</v>
      </c>
      <c r="Z42" s="161">
        <f t="shared" si="20"/>
        <v>0</v>
      </c>
      <c r="AA42" s="130">
        <f>+S42-รพ.ตร.!Q20</f>
        <v>940500</v>
      </c>
      <c r="AB42" s="37">
        <f t="shared" si="26"/>
        <v>0</v>
      </c>
      <c r="AC42" s="80">
        <f>+S42-รพ.ตร.!Q20</f>
        <v>940500</v>
      </c>
      <c r="AD42" s="80">
        <f>+Y42-รพ.ตร.!K20</f>
        <v>0</v>
      </c>
    </row>
    <row r="43" spans="1:30" ht="24.75" thickBot="1" x14ac:dyDescent="0.6">
      <c r="A43" s="139"/>
      <c r="B43" s="140"/>
      <c r="C43" s="151"/>
      <c r="D43" s="141"/>
      <c r="E43" s="147"/>
      <c r="F43" s="162"/>
      <c r="G43" s="147"/>
      <c r="H43" s="141"/>
      <c r="I43" s="147"/>
      <c r="J43" s="141"/>
      <c r="K43" s="151"/>
      <c r="L43" s="159"/>
      <c r="M43" s="151"/>
      <c r="N43" s="159"/>
      <c r="O43" s="147"/>
      <c r="P43" s="159"/>
      <c r="Q43" s="151"/>
      <c r="R43" s="142"/>
      <c r="S43" s="151"/>
      <c r="T43" s="143"/>
      <c r="U43" s="147"/>
      <c r="V43" s="143"/>
      <c r="W43" s="147"/>
      <c r="X43" s="143"/>
      <c r="Y43" s="151"/>
      <c r="Z43" s="162"/>
    </row>
    <row r="44" spans="1:30" ht="24.75" thickBot="1" x14ac:dyDescent="0.6">
      <c r="A44" s="127"/>
      <c r="B44" s="128"/>
      <c r="C44" s="148">
        <f t="shared" ref="C44:O44" si="29">SUM(C5:C43)</f>
        <v>3061852000</v>
      </c>
      <c r="D44" s="129">
        <f t="shared" si="29"/>
        <v>178</v>
      </c>
      <c r="E44" s="148" t="e">
        <f t="shared" si="29"/>
        <v>#REF!</v>
      </c>
      <c r="F44" s="163">
        <f t="shared" si="29"/>
        <v>0</v>
      </c>
      <c r="G44" s="148" t="e">
        <f t="shared" si="29"/>
        <v>#REF!</v>
      </c>
      <c r="H44" s="186">
        <f t="shared" si="29"/>
        <v>178</v>
      </c>
      <c r="I44" s="148" t="e">
        <f t="shared" si="29"/>
        <v>#REF!</v>
      </c>
      <c r="J44" s="129">
        <f t="shared" si="29"/>
        <v>0</v>
      </c>
      <c r="K44" s="148" t="e">
        <f t="shared" si="29"/>
        <v>#REF!</v>
      </c>
      <c r="L44" s="160">
        <f t="shared" si="29"/>
        <v>116</v>
      </c>
      <c r="M44" s="148" t="e">
        <f t="shared" si="29"/>
        <v>#REF!</v>
      </c>
      <c r="N44" s="160" t="e">
        <f t="shared" si="29"/>
        <v>#REF!</v>
      </c>
      <c r="O44" s="148" t="e">
        <f t="shared" si="29"/>
        <v>#REF!</v>
      </c>
      <c r="P44" s="160" t="e">
        <f>SUM(P5:P42)</f>
        <v>#REF!</v>
      </c>
      <c r="Q44" s="148" t="e">
        <f t="shared" ref="Q44:Z44" si="30">SUM(Q5:Q43)</f>
        <v>#REF!</v>
      </c>
      <c r="R44" s="129" t="e">
        <f t="shared" si="30"/>
        <v>#REF!</v>
      </c>
      <c r="S44" s="148" t="e">
        <f t="shared" si="30"/>
        <v>#REF!</v>
      </c>
      <c r="T44" s="160">
        <f t="shared" si="30"/>
        <v>293</v>
      </c>
      <c r="U44" s="148" t="e">
        <f t="shared" si="30"/>
        <v>#REF!</v>
      </c>
      <c r="V44" s="160" t="e">
        <f t="shared" si="30"/>
        <v>#REF!</v>
      </c>
      <c r="W44" s="148" t="e">
        <f t="shared" si="30"/>
        <v>#REF!</v>
      </c>
      <c r="X44" s="160" t="e">
        <f t="shared" si="30"/>
        <v>#REF!</v>
      </c>
      <c r="Y44" s="148" t="e">
        <f t="shared" si="30"/>
        <v>#REF!</v>
      </c>
      <c r="Z44" s="163" t="e">
        <f t="shared" si="30"/>
        <v>#REF!</v>
      </c>
      <c r="AB44" s="37" t="e">
        <f t="shared" si="26"/>
        <v>#REF!</v>
      </c>
    </row>
    <row r="45" spans="1:30" x14ac:dyDescent="0.55000000000000004">
      <c r="H45" s="155"/>
      <c r="N45" s="155"/>
      <c r="P45" s="155"/>
    </row>
    <row r="46" spans="1:30" s="177" customFormat="1" x14ac:dyDescent="0.55000000000000004">
      <c r="A46" s="252"/>
      <c r="C46" s="253"/>
      <c r="D46" s="252"/>
      <c r="E46" s="254"/>
      <c r="F46" s="255"/>
      <c r="G46" s="254"/>
      <c r="H46" s="252"/>
      <c r="I46" s="254"/>
      <c r="J46" s="252"/>
      <c r="K46" s="253"/>
      <c r="L46" s="252"/>
      <c r="M46" s="253"/>
      <c r="N46" s="252"/>
      <c r="O46" s="254"/>
      <c r="P46" s="252"/>
      <c r="Q46" s="253"/>
      <c r="S46" s="253"/>
      <c r="T46" s="252"/>
      <c r="U46" s="254"/>
      <c r="V46" s="252"/>
      <c r="W46" s="254"/>
      <c r="X46" s="252"/>
      <c r="Y46" s="253"/>
      <c r="Z46" s="255"/>
      <c r="AB46" s="253"/>
    </row>
    <row r="48" spans="1:30" x14ac:dyDescent="0.55000000000000004">
      <c r="X48" s="155"/>
    </row>
  </sheetData>
  <mergeCells count="6">
    <mergeCell ref="S3:Z3"/>
    <mergeCell ref="A2:E2"/>
    <mergeCell ref="A3:A4"/>
    <mergeCell ref="B3:B4"/>
    <mergeCell ref="C3:J3"/>
    <mergeCell ref="K3:R3"/>
  </mergeCells>
  <pageMargins left="0.35433070866141736" right="0.19685039370078741" top="0.55118110236220474" bottom="0.51181102362204722" header="0.31496062992125984" footer="0.31496062992125984"/>
  <pageSetup paperSize="9" scale="75" orientation="landscape" blackAndWhite="1" r:id="rId1"/>
  <headerFooter>
    <oddHeader>&amp;L&amp;D &amp;T&amp;Rหน้า 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C48" sqref="C48"/>
    </sheetView>
  </sheetViews>
  <sheetFormatPr defaultColWidth="8.85546875" defaultRowHeight="24" x14ac:dyDescent="0.55000000000000004"/>
  <cols>
    <col min="1" max="1" width="6" style="123" customWidth="1"/>
    <col min="2" max="2" width="18.5703125" style="55" customWidth="1"/>
    <col min="3" max="3" width="12.7109375" style="124" customWidth="1"/>
    <col min="4" max="4" width="20.28515625" style="53" customWidth="1"/>
    <col min="5" max="5" width="24.85546875" style="55" customWidth="1"/>
    <col min="6" max="16384" width="8.85546875" style="55"/>
  </cols>
  <sheetData>
    <row r="1" spans="1:10" ht="27.75" x14ac:dyDescent="0.55000000000000004">
      <c r="A1" s="749" t="s">
        <v>106</v>
      </c>
      <c r="B1" s="749"/>
      <c r="C1" s="749"/>
      <c r="D1" s="749"/>
      <c r="E1" s="111"/>
      <c r="F1" s="111"/>
      <c r="G1" s="111"/>
      <c r="H1" s="111"/>
      <c r="I1" s="111"/>
      <c r="J1" s="111"/>
    </row>
    <row r="2" spans="1:10" ht="21.75" customHeight="1" x14ac:dyDescent="0.55000000000000004">
      <c r="A2" s="811" t="s">
        <v>159</v>
      </c>
      <c r="B2" s="811"/>
      <c r="C2" s="811"/>
      <c r="D2" s="811"/>
      <c r="E2" s="111"/>
      <c r="F2" s="111"/>
      <c r="G2" s="111"/>
      <c r="H2" s="111"/>
      <c r="I2" s="111"/>
      <c r="J2" s="111"/>
    </row>
    <row r="3" spans="1:10" ht="21.75" customHeight="1" x14ac:dyDescent="0.55000000000000004">
      <c r="A3" s="268"/>
      <c r="B3" s="268" t="s">
        <v>146</v>
      </c>
      <c r="C3" s="268" t="s">
        <v>29</v>
      </c>
      <c r="D3" s="268" t="s">
        <v>108</v>
      </c>
      <c r="E3" s="111"/>
      <c r="F3" s="111"/>
      <c r="G3" s="111"/>
      <c r="H3" s="111"/>
      <c r="I3" s="111"/>
      <c r="J3" s="111"/>
    </row>
    <row r="4" spans="1:10" x14ac:dyDescent="0.55000000000000004">
      <c r="B4" s="49" t="s">
        <v>37</v>
      </c>
      <c r="C4" s="124">
        <f>+Sheet2!D44</f>
        <v>178</v>
      </c>
      <c r="D4" s="47">
        <f>+Sheet2!C44</f>
        <v>3061852000</v>
      </c>
      <c r="E4" s="42"/>
    </row>
    <row r="5" spans="1:10" x14ac:dyDescent="0.55000000000000004">
      <c r="B5" s="49" t="s">
        <v>10</v>
      </c>
      <c r="C5" s="124">
        <f>+Sheet2!L44</f>
        <v>116</v>
      </c>
      <c r="D5" s="47" t="e">
        <f>+Sheet2!K44</f>
        <v>#REF!</v>
      </c>
      <c r="E5" s="42"/>
    </row>
    <row r="6" spans="1:10" ht="24.75" thickBot="1" x14ac:dyDescent="0.6">
      <c r="B6" s="49" t="s">
        <v>197</v>
      </c>
      <c r="C6" s="137">
        <f>+C4+C5</f>
        <v>294</v>
      </c>
      <c r="D6" s="138" t="e">
        <f>SUM(D4:D5)</f>
        <v>#REF!</v>
      </c>
    </row>
    <row r="7" spans="1:10" ht="23.25" customHeight="1" thickTop="1" x14ac:dyDescent="0.55000000000000004">
      <c r="A7" s="112"/>
      <c r="B7" s="112"/>
      <c r="C7" s="191"/>
      <c r="D7" s="112"/>
      <c r="E7" s="111"/>
      <c r="F7" s="111"/>
      <c r="G7" s="111"/>
      <c r="H7" s="111"/>
      <c r="I7" s="111"/>
      <c r="J7" s="111"/>
    </row>
    <row r="8" spans="1:10" s="42" customFormat="1" x14ac:dyDescent="0.55000000000000004">
      <c r="A8" s="113" t="s">
        <v>19</v>
      </c>
      <c r="B8" s="114" t="s">
        <v>107</v>
      </c>
      <c r="C8" s="116" t="s">
        <v>29</v>
      </c>
      <c r="D8" s="116" t="s">
        <v>108</v>
      </c>
    </row>
    <row r="9" spans="1:10" x14ac:dyDescent="0.55000000000000004">
      <c r="A9" s="117"/>
      <c r="B9" s="168" t="s">
        <v>32</v>
      </c>
      <c r="C9" s="192">
        <f>+Sheet2!T5</f>
        <v>0</v>
      </c>
      <c r="D9" s="118">
        <f>+Sheet2!S5</f>
        <v>0</v>
      </c>
    </row>
    <row r="10" spans="1:10" x14ac:dyDescent="0.55000000000000004">
      <c r="A10" s="117">
        <v>1</v>
      </c>
      <c r="B10" s="168" t="s">
        <v>14</v>
      </c>
      <c r="C10" s="192">
        <f>+Sheet2!T20</f>
        <v>6</v>
      </c>
      <c r="D10" s="118">
        <f>+Sheet2!S20</f>
        <v>25634500</v>
      </c>
    </row>
    <row r="11" spans="1:10" x14ac:dyDescent="0.55000000000000004">
      <c r="A11" s="117">
        <f>1+A10</f>
        <v>2</v>
      </c>
      <c r="B11" s="168" t="s">
        <v>109</v>
      </c>
      <c r="C11" s="192">
        <f>+Sheet2!T21</f>
        <v>0</v>
      </c>
      <c r="D11" s="118">
        <f>+Sheet2!S21</f>
        <v>0</v>
      </c>
    </row>
    <row r="12" spans="1:10" x14ac:dyDescent="0.55000000000000004">
      <c r="A12" s="117">
        <f t="shared" ref="A12:A44" si="0">1+A11</f>
        <v>3</v>
      </c>
      <c r="B12" s="168" t="s">
        <v>110</v>
      </c>
      <c r="C12" s="192">
        <f>+Sheet2!T22</f>
        <v>9</v>
      </c>
      <c r="D12" s="118">
        <f>+Sheet2!S22</f>
        <v>13343400</v>
      </c>
      <c r="G12" s="102"/>
    </row>
    <row r="13" spans="1:10" x14ac:dyDescent="0.55000000000000004">
      <c r="A13" s="117">
        <f t="shared" si="0"/>
        <v>4</v>
      </c>
      <c r="B13" s="168" t="s">
        <v>111</v>
      </c>
      <c r="C13" s="192">
        <f>+Sheet2!T23</f>
        <v>6</v>
      </c>
      <c r="D13" s="118">
        <f>+Sheet2!S23</f>
        <v>14509300</v>
      </c>
      <c r="G13" s="54"/>
    </row>
    <row r="14" spans="1:10" x14ac:dyDescent="0.55000000000000004">
      <c r="A14" s="117">
        <f t="shared" si="0"/>
        <v>5</v>
      </c>
      <c r="B14" s="168" t="s">
        <v>112</v>
      </c>
      <c r="C14" s="192">
        <f>+Sheet2!T24</f>
        <v>4</v>
      </c>
      <c r="D14" s="118">
        <f>+Sheet2!S24</f>
        <v>1186800</v>
      </c>
    </row>
    <row r="15" spans="1:10" x14ac:dyDescent="0.55000000000000004">
      <c r="A15" s="117">
        <f t="shared" si="0"/>
        <v>6</v>
      </c>
      <c r="B15" s="168" t="s">
        <v>113</v>
      </c>
      <c r="C15" s="192">
        <f>+Sheet2!T25</f>
        <v>17</v>
      </c>
      <c r="D15" s="118">
        <f>+Sheet2!S25</f>
        <v>158183300</v>
      </c>
    </row>
    <row r="16" spans="1:10" x14ac:dyDescent="0.55000000000000004">
      <c r="A16" s="117">
        <f t="shared" si="0"/>
        <v>7</v>
      </c>
      <c r="B16" s="168" t="s">
        <v>114</v>
      </c>
      <c r="C16" s="192">
        <f>+Sheet2!T26</f>
        <v>16</v>
      </c>
      <c r="D16" s="118">
        <f>+Sheet2!S26</f>
        <v>118984800</v>
      </c>
    </row>
    <row r="17" spans="1:4" x14ac:dyDescent="0.55000000000000004">
      <c r="A17" s="117">
        <f t="shared" si="0"/>
        <v>8</v>
      </c>
      <c r="B17" s="168" t="s">
        <v>115</v>
      </c>
      <c r="C17" s="192">
        <f>+Sheet2!T27</f>
        <v>1</v>
      </c>
      <c r="D17" s="118">
        <f>+Sheet2!S27</f>
        <v>400000</v>
      </c>
    </row>
    <row r="18" spans="1:4" x14ac:dyDescent="0.55000000000000004">
      <c r="A18" s="117">
        <f t="shared" si="0"/>
        <v>9</v>
      </c>
      <c r="B18" s="168" t="s">
        <v>116</v>
      </c>
      <c r="C18" s="192">
        <f>+Sheet2!T28</f>
        <v>20</v>
      </c>
      <c r="D18" s="118">
        <f>+Sheet2!S28</f>
        <v>66866900</v>
      </c>
    </row>
    <row r="19" spans="1:4" x14ac:dyDescent="0.55000000000000004">
      <c r="A19" s="117">
        <f t="shared" si="0"/>
        <v>10</v>
      </c>
      <c r="B19" s="168" t="s">
        <v>117</v>
      </c>
      <c r="C19" s="192">
        <f>+Sheet2!T29</f>
        <v>9</v>
      </c>
      <c r="D19" s="118">
        <f>+Sheet2!S29</f>
        <v>31864700</v>
      </c>
    </row>
    <row r="20" spans="1:4" x14ac:dyDescent="0.55000000000000004">
      <c r="A20" s="117">
        <f t="shared" si="0"/>
        <v>11</v>
      </c>
      <c r="B20" s="168" t="s">
        <v>7</v>
      </c>
      <c r="C20" s="192">
        <f>+Sheet2!T30</f>
        <v>23</v>
      </c>
      <c r="D20" s="118">
        <f>+Sheet2!S30</f>
        <v>254531300</v>
      </c>
    </row>
    <row r="21" spans="1:4" x14ac:dyDescent="0.55000000000000004">
      <c r="A21" s="117">
        <f t="shared" si="0"/>
        <v>12</v>
      </c>
      <c r="B21" s="168" t="s">
        <v>16</v>
      </c>
      <c r="C21" s="115">
        <f>+Sheet2!T31</f>
        <v>18</v>
      </c>
      <c r="D21" s="119">
        <f>+Sheet2!S31</f>
        <v>41662300</v>
      </c>
    </row>
    <row r="22" spans="1:4" x14ac:dyDescent="0.55000000000000004">
      <c r="A22" s="117">
        <f t="shared" si="0"/>
        <v>13</v>
      </c>
      <c r="B22" s="168" t="s">
        <v>30</v>
      </c>
      <c r="C22" s="115">
        <f>+Sheet2!T33</f>
        <v>14</v>
      </c>
      <c r="D22" s="119">
        <f>+Sheet2!S33</f>
        <v>690950900</v>
      </c>
    </row>
    <row r="23" spans="1:4" x14ac:dyDescent="0.55000000000000004">
      <c r="A23" s="117">
        <f t="shared" si="0"/>
        <v>14</v>
      </c>
      <c r="B23" s="168" t="s">
        <v>11</v>
      </c>
      <c r="C23" s="115">
        <f>+Sheet2!T34</f>
        <v>6</v>
      </c>
      <c r="D23" s="119">
        <f>+Sheet2!S34</f>
        <v>288253100</v>
      </c>
    </row>
    <row r="24" spans="1:4" x14ac:dyDescent="0.55000000000000004">
      <c r="A24" s="117">
        <f t="shared" si="0"/>
        <v>15</v>
      </c>
      <c r="B24" s="168" t="s">
        <v>17</v>
      </c>
      <c r="C24" s="115">
        <f>+Sheet2!T35</f>
        <v>8</v>
      </c>
      <c r="D24" s="119">
        <f>+Sheet2!S35</f>
        <v>200790800</v>
      </c>
    </row>
    <row r="25" spans="1:4" x14ac:dyDescent="0.55000000000000004">
      <c r="A25" s="117">
        <f t="shared" si="0"/>
        <v>16</v>
      </c>
      <c r="B25" s="168" t="s">
        <v>0</v>
      </c>
      <c r="C25" s="115">
        <f>+Sheet2!T36</f>
        <v>39</v>
      </c>
      <c r="D25" s="119">
        <f>+Sheet2!S36</f>
        <v>229120800</v>
      </c>
    </row>
    <row r="26" spans="1:4" x14ac:dyDescent="0.55000000000000004">
      <c r="A26" s="117">
        <f t="shared" si="0"/>
        <v>17</v>
      </c>
      <c r="B26" s="168" t="s">
        <v>45</v>
      </c>
      <c r="C26" s="115">
        <f>+Sheet2!T16</f>
        <v>6</v>
      </c>
      <c r="D26" s="119">
        <f>+Sheet2!S16</f>
        <v>7692800</v>
      </c>
    </row>
    <row r="27" spans="1:4" x14ac:dyDescent="0.55000000000000004">
      <c r="A27" s="117">
        <f t="shared" si="0"/>
        <v>18</v>
      </c>
      <c r="B27" s="168" t="s">
        <v>118</v>
      </c>
      <c r="C27" s="115">
        <f>+Sheet2!T18</f>
        <v>0</v>
      </c>
      <c r="D27" s="119">
        <f>+Sheet2!S18</f>
        <v>0</v>
      </c>
    </row>
    <row r="28" spans="1:4" x14ac:dyDescent="0.55000000000000004">
      <c r="A28" s="117">
        <f t="shared" si="0"/>
        <v>19</v>
      </c>
      <c r="B28" s="168" t="s">
        <v>5</v>
      </c>
      <c r="C28" s="115">
        <f>+Sheet2!T38</f>
        <v>3</v>
      </c>
      <c r="D28" s="119">
        <f>+Sheet2!S38</f>
        <v>30256800</v>
      </c>
    </row>
    <row r="29" spans="1:4" x14ac:dyDescent="0.55000000000000004">
      <c r="A29" s="117">
        <f t="shared" si="0"/>
        <v>20</v>
      </c>
      <c r="B29" s="168" t="s">
        <v>2</v>
      </c>
      <c r="C29" s="115">
        <f>+Sheet2!T39</f>
        <v>9</v>
      </c>
      <c r="D29" s="119">
        <f>+Sheet2!S39</f>
        <v>236893100</v>
      </c>
    </row>
    <row r="30" spans="1:4" x14ac:dyDescent="0.55000000000000004">
      <c r="A30" s="117">
        <f t="shared" si="0"/>
        <v>21</v>
      </c>
      <c r="B30" s="184" t="s">
        <v>34</v>
      </c>
      <c r="C30" s="115">
        <f>+Sheet2!T40</f>
        <v>21</v>
      </c>
      <c r="D30" s="119">
        <f>+Sheet2!S40</f>
        <v>303068300</v>
      </c>
    </row>
    <row r="31" spans="1:4" x14ac:dyDescent="0.55000000000000004">
      <c r="A31" s="117">
        <f t="shared" si="0"/>
        <v>22</v>
      </c>
      <c r="B31" s="168" t="s">
        <v>28</v>
      </c>
      <c r="C31" s="115">
        <f>+Sheet2!T42</f>
        <v>2</v>
      </c>
      <c r="D31" s="119">
        <f>+Sheet2!S42</f>
        <v>940500</v>
      </c>
    </row>
    <row r="32" spans="1:4" x14ac:dyDescent="0.55000000000000004">
      <c r="A32" s="117">
        <f t="shared" si="0"/>
        <v>23</v>
      </c>
      <c r="B32" s="168" t="s">
        <v>35</v>
      </c>
      <c r="C32" s="115">
        <f>+Sheet2!T41</f>
        <v>2</v>
      </c>
      <c r="D32" s="119">
        <f>+Sheet2!S41</f>
        <v>10908700</v>
      </c>
    </row>
    <row r="33" spans="1:4" x14ac:dyDescent="0.55000000000000004">
      <c r="A33" s="117">
        <f t="shared" si="0"/>
        <v>24</v>
      </c>
      <c r="B33" s="168" t="s">
        <v>40</v>
      </c>
      <c r="C33" s="115">
        <f>+Sheet2!T17</f>
        <v>0</v>
      </c>
      <c r="D33" s="119">
        <f>+Sheet2!S17</f>
        <v>0</v>
      </c>
    </row>
    <row r="34" spans="1:4" x14ac:dyDescent="0.55000000000000004">
      <c r="A34" s="117">
        <f t="shared" si="0"/>
        <v>25</v>
      </c>
      <c r="B34" s="184" t="s">
        <v>43</v>
      </c>
      <c r="C34" s="115">
        <f>+Sheet2!T19</f>
        <v>0</v>
      </c>
      <c r="D34" s="119">
        <f>+Sheet2!S19</f>
        <v>0</v>
      </c>
    </row>
    <row r="35" spans="1:4" x14ac:dyDescent="0.55000000000000004">
      <c r="A35" s="117">
        <f t="shared" si="0"/>
        <v>26</v>
      </c>
      <c r="B35" s="168" t="s">
        <v>38</v>
      </c>
      <c r="C35" s="115">
        <f>+Sheet2!T14</f>
        <v>2</v>
      </c>
      <c r="D35" s="119">
        <f>+Sheet2!S14</f>
        <v>15458000</v>
      </c>
    </row>
    <row r="36" spans="1:4" x14ac:dyDescent="0.55000000000000004">
      <c r="A36" s="117">
        <f t="shared" si="0"/>
        <v>27</v>
      </c>
      <c r="B36" s="168" t="s">
        <v>39</v>
      </c>
      <c r="C36" s="115">
        <f>+Sheet2!T6</f>
        <v>0</v>
      </c>
      <c r="D36" s="119">
        <f>+Sheet2!S6</f>
        <v>0</v>
      </c>
    </row>
    <row r="37" spans="1:4" x14ac:dyDescent="0.55000000000000004">
      <c r="A37" s="117">
        <f t="shared" si="0"/>
        <v>28</v>
      </c>
      <c r="B37" s="168" t="s">
        <v>4</v>
      </c>
      <c r="C37" s="115">
        <f>+Sheet2!T13</f>
        <v>36</v>
      </c>
      <c r="D37" s="119">
        <f>+สกบ.!F53</f>
        <v>1008948500</v>
      </c>
    </row>
    <row r="38" spans="1:4" x14ac:dyDescent="0.55000000000000004">
      <c r="A38" s="117">
        <f t="shared" si="0"/>
        <v>29</v>
      </c>
      <c r="B38" s="168" t="s">
        <v>41</v>
      </c>
      <c r="C38" s="115">
        <f>+Sheet2!T12</f>
        <v>0</v>
      </c>
      <c r="D38" s="119">
        <f>+Sheet2!S12</f>
        <v>0</v>
      </c>
    </row>
    <row r="39" spans="1:4" x14ac:dyDescent="0.55000000000000004">
      <c r="A39" s="117">
        <f t="shared" si="0"/>
        <v>30</v>
      </c>
      <c r="B39" s="168" t="s">
        <v>22</v>
      </c>
      <c r="C39" s="115">
        <f>+Sheet2!T10</f>
        <v>9</v>
      </c>
      <c r="D39" s="119">
        <f>+Sheet2!S10</f>
        <v>880754800</v>
      </c>
    </row>
    <row r="40" spans="1:4" x14ac:dyDescent="0.55000000000000004">
      <c r="A40" s="117">
        <f t="shared" si="0"/>
        <v>31</v>
      </c>
      <c r="B40" s="168" t="s">
        <v>44</v>
      </c>
      <c r="C40" s="115">
        <f>+Sheet2!T11</f>
        <v>0</v>
      </c>
      <c r="D40" s="119">
        <f>+Sheet2!S11</f>
        <v>0</v>
      </c>
    </row>
    <row r="41" spans="1:4" x14ac:dyDescent="0.55000000000000004">
      <c r="A41" s="117">
        <f t="shared" si="0"/>
        <v>32</v>
      </c>
      <c r="B41" s="168" t="s">
        <v>42</v>
      </c>
      <c r="C41" s="115">
        <f>+Sheet2!T7</f>
        <v>0</v>
      </c>
      <c r="D41" s="119">
        <f>+Sheet2!S7</f>
        <v>0</v>
      </c>
    </row>
    <row r="42" spans="1:4" x14ac:dyDescent="0.55000000000000004">
      <c r="A42" s="117">
        <f t="shared" si="0"/>
        <v>33</v>
      </c>
      <c r="B42" s="168" t="s">
        <v>31</v>
      </c>
      <c r="C42" s="115">
        <f>+Sheet2!T8</f>
        <v>7</v>
      </c>
      <c r="D42" s="119">
        <f>+Sheet2!S8</f>
        <v>3742700</v>
      </c>
    </row>
    <row r="43" spans="1:4" x14ac:dyDescent="0.55000000000000004">
      <c r="A43" s="117">
        <f t="shared" si="0"/>
        <v>34</v>
      </c>
      <c r="B43" s="168" t="s">
        <v>104</v>
      </c>
      <c r="C43" s="115">
        <f>+Sheet2!T32</f>
        <v>0</v>
      </c>
      <c r="D43" s="119">
        <f>+Sheet2!S32</f>
        <v>0</v>
      </c>
    </row>
    <row r="44" spans="1:4" x14ac:dyDescent="0.55000000000000004">
      <c r="A44" s="117">
        <f t="shared" si="0"/>
        <v>35</v>
      </c>
      <c r="B44" s="168" t="s">
        <v>130</v>
      </c>
      <c r="C44" s="115">
        <f>+Sheet2!T15</f>
        <v>0</v>
      </c>
      <c r="D44" s="119">
        <f>+Sheet2!S15</f>
        <v>0</v>
      </c>
    </row>
    <row r="45" spans="1:4" x14ac:dyDescent="0.55000000000000004">
      <c r="A45" s="117"/>
      <c r="B45" s="168"/>
      <c r="C45" s="115"/>
      <c r="D45" s="119"/>
    </row>
    <row r="46" spans="1:4" s="49" customFormat="1" x14ac:dyDescent="0.55000000000000004">
      <c r="A46" s="113"/>
      <c r="B46" s="113" t="s">
        <v>119</v>
      </c>
      <c r="C46" s="115">
        <f>SUM(C9:C45)</f>
        <v>293</v>
      </c>
      <c r="D46" s="115">
        <f>SUM(D9:D45)</f>
        <v>4634947100</v>
      </c>
    </row>
    <row r="47" spans="1:4" s="49" customFormat="1" x14ac:dyDescent="0.55000000000000004">
      <c r="A47" s="120"/>
      <c r="B47" s="120"/>
      <c r="C47" s="121"/>
      <c r="D47" s="122"/>
    </row>
    <row r="48" spans="1:4" x14ac:dyDescent="0.55000000000000004">
      <c r="C48" s="124">
        <f>+C46-C6</f>
        <v>-1</v>
      </c>
      <c r="D48" s="53" t="e">
        <f>+D46-D6</f>
        <v>#REF!</v>
      </c>
    </row>
  </sheetData>
  <mergeCells count="2">
    <mergeCell ref="A1:D1"/>
    <mergeCell ref="A2:D2"/>
  </mergeCells>
  <printOptions horizontalCentered="1"/>
  <pageMargins left="0.70866141732283472" right="0.70866141732283472" top="0.51181102362204722" bottom="1.4173228346456694" header="0.31496062992125984" footer="0.86614173228346458"/>
  <pageSetup paperSize="9" orientation="portrait" r:id="rId1"/>
  <headerFooter>
    <oddHeader>&amp;L&amp;D &amp;T&amp;Rหน้า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C19" sqref="C19"/>
    </sheetView>
  </sheetViews>
  <sheetFormatPr defaultRowHeight="12.75" x14ac:dyDescent="0.2"/>
  <cols>
    <col min="1" max="1" width="6.7109375" customWidth="1"/>
    <col min="2" max="2" width="14.85546875" customWidth="1"/>
    <col min="3" max="6" width="17.7109375" customWidth="1"/>
  </cols>
  <sheetData>
    <row r="1" spans="1:6" ht="27.75" x14ac:dyDescent="0.2">
      <c r="A1" s="749" t="s">
        <v>481</v>
      </c>
      <c r="B1" s="749"/>
      <c r="C1" s="749"/>
      <c r="D1" s="749"/>
      <c r="E1" s="749"/>
      <c r="F1" s="749"/>
    </row>
    <row r="2" spans="1:6" ht="27.75" x14ac:dyDescent="0.2">
      <c r="A2" s="342"/>
      <c r="B2" s="342"/>
      <c r="C2" s="342"/>
      <c r="D2" s="342"/>
    </row>
    <row r="3" spans="1:6" ht="27.75" x14ac:dyDescent="0.2">
      <c r="A3" s="342"/>
      <c r="B3" s="342"/>
      <c r="C3" s="341" t="s">
        <v>146</v>
      </c>
      <c r="D3" s="341" t="s">
        <v>29</v>
      </c>
      <c r="E3" s="341" t="s">
        <v>108</v>
      </c>
    </row>
    <row r="4" spans="1:6" ht="27.75" x14ac:dyDescent="0.55000000000000004">
      <c r="A4" s="342"/>
      <c r="B4" s="342"/>
      <c r="C4" s="49" t="s">
        <v>37</v>
      </c>
      <c r="D4" s="124">
        <f>C47</f>
        <v>178</v>
      </c>
      <c r="E4" s="47">
        <f>D47</f>
        <v>3061852000</v>
      </c>
    </row>
    <row r="5" spans="1:6" ht="27.75" x14ac:dyDescent="0.55000000000000004">
      <c r="A5" s="342"/>
      <c r="B5" s="342"/>
      <c r="C5" s="49" t="s">
        <v>10</v>
      </c>
      <c r="D5" s="124">
        <f>E47</f>
        <v>116</v>
      </c>
      <c r="E5" s="47">
        <f>F47</f>
        <v>1576395100</v>
      </c>
    </row>
    <row r="6" spans="1:6" ht="28.5" thickBot="1" x14ac:dyDescent="0.6">
      <c r="A6" s="341"/>
      <c r="B6" s="341"/>
      <c r="C6" s="49" t="s">
        <v>197</v>
      </c>
      <c r="D6" s="137">
        <f>+D4+D5</f>
        <v>294</v>
      </c>
      <c r="E6" s="138">
        <f>SUM(E4:E5)</f>
        <v>4638247100</v>
      </c>
    </row>
    <row r="7" spans="1:6" ht="28.5" thickTop="1" x14ac:dyDescent="0.55000000000000004">
      <c r="A7" s="341"/>
      <c r="B7" s="341"/>
      <c r="C7" s="49"/>
      <c r="D7" s="355"/>
      <c r="E7" s="356"/>
    </row>
    <row r="8" spans="1:6" ht="24" x14ac:dyDescent="0.55000000000000004">
      <c r="A8" s="812" t="s">
        <v>19</v>
      </c>
      <c r="B8" s="812" t="s">
        <v>107</v>
      </c>
      <c r="C8" s="753" t="s">
        <v>37</v>
      </c>
      <c r="D8" s="753"/>
      <c r="E8" s="753" t="s">
        <v>144</v>
      </c>
      <c r="F8" s="753"/>
    </row>
    <row r="9" spans="1:6" ht="24" x14ac:dyDescent="0.55000000000000004">
      <c r="A9" s="812"/>
      <c r="B9" s="812"/>
      <c r="C9" s="348" t="s">
        <v>29</v>
      </c>
      <c r="D9" s="348" t="s">
        <v>50</v>
      </c>
      <c r="E9" s="348" t="s">
        <v>29</v>
      </c>
      <c r="F9" s="348" t="s">
        <v>50</v>
      </c>
    </row>
    <row r="10" spans="1:6" ht="24" hidden="1" x14ac:dyDescent="0.55000000000000004">
      <c r="A10" s="109">
        <v>1</v>
      </c>
      <c r="B10" s="108" t="s">
        <v>32</v>
      </c>
      <c r="C10" s="350" t="s">
        <v>209</v>
      </c>
      <c r="D10" s="351">
        <f>ตร.!F16</f>
        <v>0</v>
      </c>
      <c r="E10" s="350" t="s">
        <v>209</v>
      </c>
      <c r="F10" s="352" t="s">
        <v>209</v>
      </c>
    </row>
    <row r="11" spans="1:6" ht="24" x14ac:dyDescent="0.55000000000000004">
      <c r="A11" s="109">
        <v>1</v>
      </c>
      <c r="B11" s="108" t="s">
        <v>14</v>
      </c>
      <c r="C11" s="350">
        <f>บช.น.!A16</f>
        <v>4</v>
      </c>
      <c r="D11" s="351">
        <f>บช.น.!F16</f>
        <v>7918900</v>
      </c>
      <c r="E11" s="350">
        <f>บช.น.!A21</f>
        <v>2</v>
      </c>
      <c r="F11" s="351">
        <f>บช.น.!F21</f>
        <v>17715600</v>
      </c>
    </row>
    <row r="12" spans="1:6" ht="24" x14ac:dyDescent="0.55000000000000004">
      <c r="A12" s="109">
        <v>2</v>
      </c>
      <c r="B12" s="108" t="s">
        <v>12</v>
      </c>
      <c r="C12" s="350">
        <f>ภ.1!A13</f>
        <v>0</v>
      </c>
      <c r="D12" s="351">
        <f>ภ.1!F13</f>
        <v>0</v>
      </c>
      <c r="E12" s="350">
        <f>ภ.1!A17</f>
        <v>0</v>
      </c>
      <c r="F12" s="351">
        <f>ภ.1!F17</f>
        <v>0</v>
      </c>
    </row>
    <row r="13" spans="1:6" ht="24" x14ac:dyDescent="0.55000000000000004">
      <c r="A13" s="109">
        <v>3</v>
      </c>
      <c r="B13" s="108" t="s">
        <v>13</v>
      </c>
      <c r="C13" s="350">
        <f>ภ.2!A18</f>
        <v>6</v>
      </c>
      <c r="D13" s="351">
        <f>ภ.2!F18</f>
        <v>2834400</v>
      </c>
      <c r="E13" s="350">
        <f>ภ.2!A24</f>
        <v>3</v>
      </c>
      <c r="F13" s="351">
        <f>ภ.2!F24</f>
        <v>10509000</v>
      </c>
    </row>
    <row r="14" spans="1:6" ht="24" x14ac:dyDescent="0.55000000000000004">
      <c r="A14" s="109">
        <v>4</v>
      </c>
      <c r="B14" s="108" t="s">
        <v>15</v>
      </c>
      <c r="C14" s="350">
        <f>+ภ.3!A15</f>
        <v>3</v>
      </c>
      <c r="D14" s="373">
        <f>+ภ.3!F15</f>
        <v>391200</v>
      </c>
      <c r="E14" s="350">
        <f>ภ.3!A21</f>
        <v>3</v>
      </c>
      <c r="F14" s="351">
        <f>ภ.3!F21</f>
        <v>14118100</v>
      </c>
    </row>
    <row r="15" spans="1:6" ht="24" x14ac:dyDescent="0.55000000000000004">
      <c r="A15" s="109">
        <v>5</v>
      </c>
      <c r="B15" s="108" t="s">
        <v>9</v>
      </c>
      <c r="C15" s="350">
        <f>ภ.4!A15</f>
        <v>3</v>
      </c>
      <c r="D15" s="351">
        <f>ภ.4!F15</f>
        <v>586800</v>
      </c>
      <c r="E15" s="350">
        <f>ภ.4!A19</f>
        <v>1</v>
      </c>
      <c r="F15" s="351">
        <f>ภ.4!F19</f>
        <v>600000</v>
      </c>
    </row>
    <row r="16" spans="1:6" ht="24" x14ac:dyDescent="0.55000000000000004">
      <c r="A16" s="109">
        <v>6</v>
      </c>
      <c r="B16" s="108" t="s">
        <v>6</v>
      </c>
      <c r="C16" s="350">
        <f>+ภ.5!A24</f>
        <v>12</v>
      </c>
      <c r="D16" s="373">
        <f>+ภ.5!F24</f>
        <v>28735100</v>
      </c>
      <c r="E16" s="350">
        <f>ภ.5!A32</f>
        <v>5</v>
      </c>
      <c r="F16" s="351">
        <f>ภ.5!F32</f>
        <v>129448200</v>
      </c>
    </row>
    <row r="17" spans="1:6" ht="24" x14ac:dyDescent="0.55000000000000004">
      <c r="A17" s="109">
        <v>7</v>
      </c>
      <c r="B17" s="108" t="s">
        <v>27</v>
      </c>
      <c r="C17" s="350">
        <f>ภ.6!A17</f>
        <v>5</v>
      </c>
      <c r="D17" s="351">
        <f>ภ.6!F17</f>
        <v>13604100</v>
      </c>
      <c r="E17" s="350">
        <f>ภ.6!A32</f>
        <v>11</v>
      </c>
      <c r="F17" s="351">
        <f>ภ.6!F32</f>
        <v>105380700</v>
      </c>
    </row>
    <row r="18" spans="1:6" ht="24" x14ac:dyDescent="0.55000000000000004">
      <c r="A18" s="109">
        <v>8</v>
      </c>
      <c r="B18" s="108" t="s">
        <v>23</v>
      </c>
      <c r="C18" s="350">
        <f>+ภ.7!A15</f>
        <v>0</v>
      </c>
      <c r="D18" s="373">
        <f>ภ.7!F15</f>
        <v>0</v>
      </c>
      <c r="E18" s="350">
        <f>ภ.7!A19</f>
        <v>1</v>
      </c>
      <c r="F18" s="351">
        <f>ภ.7!F19</f>
        <v>400000</v>
      </c>
    </row>
    <row r="19" spans="1:6" ht="24" x14ac:dyDescent="0.55000000000000004">
      <c r="A19" s="109">
        <v>9</v>
      </c>
      <c r="B19" s="108" t="s">
        <v>24</v>
      </c>
      <c r="C19" s="350">
        <f>+ภ.8!A27</f>
        <v>15</v>
      </c>
      <c r="D19" s="373">
        <f>+ภ.8!F27</f>
        <v>8495200</v>
      </c>
      <c r="E19" s="350">
        <f>ภ.8!A35</f>
        <v>5</v>
      </c>
      <c r="F19" s="351">
        <f>ภ.8!F35</f>
        <v>58371700</v>
      </c>
    </row>
    <row r="20" spans="1:6" ht="24" x14ac:dyDescent="0.55000000000000004">
      <c r="A20" s="109">
        <v>10</v>
      </c>
      <c r="B20" s="108" t="s">
        <v>1</v>
      </c>
      <c r="C20" s="350">
        <f>ภ.9!A18</f>
        <v>6</v>
      </c>
      <c r="D20" s="351">
        <f>ภ.9!F18</f>
        <v>6153600</v>
      </c>
      <c r="E20" s="350">
        <f>ภ.9!A24</f>
        <v>3</v>
      </c>
      <c r="F20" s="351">
        <f>ภ.9!F24</f>
        <v>25711100</v>
      </c>
    </row>
    <row r="21" spans="1:6" ht="24" x14ac:dyDescent="0.55000000000000004">
      <c r="A21" s="109">
        <v>11</v>
      </c>
      <c r="B21" s="108" t="s">
        <v>7</v>
      </c>
      <c r="C21" s="350">
        <f>ศชต.!A21</f>
        <v>9</v>
      </c>
      <c r="D21" s="351">
        <f>ศชต.!F21</f>
        <v>51871700</v>
      </c>
      <c r="E21" s="350">
        <f>ศชต.!A38</f>
        <v>14</v>
      </c>
      <c r="F21" s="351">
        <f>ศชต.!F38</f>
        <v>202659600</v>
      </c>
    </row>
    <row r="22" spans="1:6" ht="24" x14ac:dyDescent="0.55000000000000004">
      <c r="A22" s="109">
        <v>12</v>
      </c>
      <c r="B22" s="108" t="s">
        <v>16</v>
      </c>
      <c r="C22" s="350">
        <f>บช.ก.!A29</f>
        <v>17</v>
      </c>
      <c r="D22" s="351">
        <f>บช.ก.!F29</f>
        <v>32845300</v>
      </c>
      <c r="E22" s="350">
        <f>บช.ก.!A33</f>
        <v>1</v>
      </c>
      <c r="F22" s="351">
        <f>บช.ก.!F33</f>
        <v>8817000</v>
      </c>
    </row>
    <row r="23" spans="1:6" ht="24" x14ac:dyDescent="0.55000000000000004">
      <c r="A23" s="109">
        <v>13</v>
      </c>
      <c r="B23" s="349" t="s">
        <v>30</v>
      </c>
      <c r="C23" s="350">
        <f>บช.ปส.!A27</f>
        <v>14</v>
      </c>
      <c r="D23" s="351">
        <f>บช.ปส.!F27</f>
        <v>690950900</v>
      </c>
      <c r="E23" s="352" t="s">
        <v>209</v>
      </c>
      <c r="F23" s="372" t="s">
        <v>209</v>
      </c>
    </row>
    <row r="24" spans="1:6" ht="24" x14ac:dyDescent="0.55000000000000004">
      <c r="A24" s="109">
        <v>14</v>
      </c>
      <c r="B24" s="108" t="s">
        <v>11</v>
      </c>
      <c r="C24" s="350">
        <f>บช.ส.!A15</f>
        <v>3</v>
      </c>
      <c r="D24" s="351">
        <f>บช.ส.!F15</f>
        <v>225781000</v>
      </c>
      <c r="E24" s="350">
        <f>บช.ส.!A21</f>
        <v>3</v>
      </c>
      <c r="F24" s="351">
        <f>บช.ส.!F21</f>
        <v>62472100</v>
      </c>
    </row>
    <row r="25" spans="1:6" ht="24" x14ac:dyDescent="0.55000000000000004">
      <c r="A25" s="109">
        <v>15</v>
      </c>
      <c r="B25" s="108" t="s">
        <v>17</v>
      </c>
      <c r="C25" s="350" t="s">
        <v>209</v>
      </c>
      <c r="D25" s="351">
        <f>สตม.!F22</f>
        <v>0</v>
      </c>
      <c r="E25" s="350">
        <f>สตม.!A33</f>
        <v>8</v>
      </c>
      <c r="F25" s="351">
        <f>สตม.!F33</f>
        <v>200790800</v>
      </c>
    </row>
    <row r="26" spans="1:6" ht="24" x14ac:dyDescent="0.55000000000000004">
      <c r="A26" s="109">
        <v>16</v>
      </c>
      <c r="B26" s="108" t="s">
        <v>0</v>
      </c>
      <c r="C26" s="350">
        <f>บช.ตชด.!A22</f>
        <v>10</v>
      </c>
      <c r="D26" s="351">
        <f>บช.ตชด.!F22</f>
        <v>59777000</v>
      </c>
      <c r="E26" s="350">
        <f>บช.ตชด.!A54</f>
        <v>29</v>
      </c>
      <c r="F26" s="351">
        <f>บช.ตชด.!F54</f>
        <v>169343800</v>
      </c>
    </row>
    <row r="27" spans="1:6" ht="24" x14ac:dyDescent="0.55000000000000004">
      <c r="A27" s="109">
        <v>17</v>
      </c>
      <c r="B27" s="108" t="s">
        <v>153</v>
      </c>
      <c r="C27" s="350">
        <f>สง.นรป.!A13</f>
        <v>1</v>
      </c>
      <c r="D27" s="351">
        <f>สง.นรป.!F13</f>
        <v>3300000</v>
      </c>
      <c r="E27" s="352" t="s">
        <v>209</v>
      </c>
      <c r="F27" s="374" t="s">
        <v>209</v>
      </c>
    </row>
    <row r="28" spans="1:6" ht="24" x14ac:dyDescent="0.55000000000000004">
      <c r="A28" s="109">
        <v>18</v>
      </c>
      <c r="B28" s="108" t="s">
        <v>5</v>
      </c>
      <c r="C28" s="350">
        <f>สพฐ.ตร.!A13</f>
        <v>1</v>
      </c>
      <c r="D28" s="351">
        <f>สพฐ.ตร.!F13</f>
        <v>5500000</v>
      </c>
      <c r="E28" s="350">
        <f>สพฐ.ตร.!A18</f>
        <v>2</v>
      </c>
      <c r="F28" s="351">
        <f>สพฐ.ตร.!F18</f>
        <v>24756800</v>
      </c>
    </row>
    <row r="29" spans="1:6" ht="24" x14ac:dyDescent="0.55000000000000004">
      <c r="A29" s="109">
        <v>19</v>
      </c>
      <c r="B29" s="108" t="s">
        <v>2</v>
      </c>
      <c r="C29" s="350">
        <f>สทส.!A19</f>
        <v>7</v>
      </c>
      <c r="D29" s="351">
        <f>สทส.!F19</f>
        <v>207419900</v>
      </c>
      <c r="E29" s="350">
        <f>สทส.!A24</f>
        <v>2</v>
      </c>
      <c r="F29" s="351">
        <f>สทส.!F24</f>
        <v>29473200</v>
      </c>
    </row>
    <row r="30" spans="1:6" ht="24" x14ac:dyDescent="0.55000000000000004">
      <c r="A30" s="109">
        <v>20</v>
      </c>
      <c r="B30" s="108" t="s">
        <v>34</v>
      </c>
      <c r="C30" s="350">
        <f>บช.ศ.!A25</f>
        <v>13</v>
      </c>
      <c r="D30" s="351">
        <f>บช.ศ.!F25</f>
        <v>50666300</v>
      </c>
      <c r="E30" s="350">
        <f>บช.ศ.!A37</f>
        <v>8</v>
      </c>
      <c r="F30" s="351">
        <f>บช.ศ.!F37</f>
        <v>252402000</v>
      </c>
    </row>
    <row r="31" spans="1:6" ht="24" x14ac:dyDescent="0.55000000000000004">
      <c r="A31" s="109">
        <v>21</v>
      </c>
      <c r="B31" s="108" t="s">
        <v>35</v>
      </c>
      <c r="C31" s="350">
        <f>รร.นรต.!A14</f>
        <v>2</v>
      </c>
      <c r="D31" s="351">
        <f>รร.นรต.!F14</f>
        <v>10908700</v>
      </c>
      <c r="E31" s="350">
        <f>+รร.นรต.!A18</f>
        <v>0</v>
      </c>
      <c r="F31" s="373">
        <f>+รร.นรต.!F18</f>
        <v>0</v>
      </c>
    </row>
    <row r="32" spans="1:6" ht="24" x14ac:dyDescent="0.55000000000000004">
      <c r="A32" s="109">
        <v>22</v>
      </c>
      <c r="B32" s="108" t="s">
        <v>28</v>
      </c>
      <c r="C32" s="350">
        <f>รพ.ตร.!A14</f>
        <v>2</v>
      </c>
      <c r="D32" s="351">
        <f>รพ.ตร.!F14</f>
        <v>940500</v>
      </c>
      <c r="E32" s="350">
        <f>+รพ.ตร.!A18</f>
        <v>0</v>
      </c>
      <c r="F32" s="359">
        <f>รพ.ตร.!F18</f>
        <v>0</v>
      </c>
    </row>
    <row r="33" spans="1:6" ht="24" x14ac:dyDescent="0.55000000000000004">
      <c r="A33" s="109">
        <v>23</v>
      </c>
      <c r="B33" s="108" t="s">
        <v>41</v>
      </c>
      <c r="C33" s="350">
        <f>สยศ.ตร.!A19</f>
        <v>0</v>
      </c>
      <c r="D33" s="351">
        <f>สยศ.ตร.!F14</f>
        <v>0</v>
      </c>
      <c r="E33" s="352" t="s">
        <v>209</v>
      </c>
      <c r="F33" s="374" t="s">
        <v>209</v>
      </c>
    </row>
    <row r="34" spans="1:6" ht="24" x14ac:dyDescent="0.55000000000000004">
      <c r="A34" s="109">
        <v>24</v>
      </c>
      <c r="B34" s="108" t="s">
        <v>4</v>
      </c>
      <c r="C34" s="350">
        <f>สกบ.!A42</f>
        <v>29</v>
      </c>
      <c r="D34" s="351">
        <f>สกบ.!F42</f>
        <v>807245900</v>
      </c>
      <c r="E34" s="350">
        <f>สกบ.!A52</f>
        <v>7</v>
      </c>
      <c r="F34" s="351">
        <f>สกบ.!F52</f>
        <v>201702600</v>
      </c>
    </row>
    <row r="35" spans="1:6" ht="24" x14ac:dyDescent="0.55000000000000004">
      <c r="A35" s="109">
        <v>25</v>
      </c>
      <c r="B35" s="108" t="s">
        <v>38</v>
      </c>
      <c r="C35" s="350">
        <f>สกพ.!A13</f>
        <v>0</v>
      </c>
      <c r="D35" s="351">
        <f>สกพ.!F13</f>
        <v>0</v>
      </c>
      <c r="E35" s="350">
        <f>สกพ.!A18</f>
        <v>2</v>
      </c>
      <c r="F35" s="351">
        <f>สกพ.!F18</f>
        <v>15458000</v>
      </c>
    </row>
    <row r="36" spans="1:6" ht="24" x14ac:dyDescent="0.55000000000000004">
      <c r="A36" s="109">
        <v>26</v>
      </c>
      <c r="B36" s="108" t="s">
        <v>130</v>
      </c>
      <c r="C36" s="350">
        <f>+สงป.!A14</f>
        <v>0</v>
      </c>
      <c r="D36" s="351">
        <f>สงป.!F14</f>
        <v>0</v>
      </c>
      <c r="E36" s="352" t="s">
        <v>209</v>
      </c>
      <c r="F36" s="374" t="s">
        <v>209</v>
      </c>
    </row>
    <row r="37" spans="1:6" ht="24" x14ac:dyDescent="0.55000000000000004">
      <c r="A37" s="109">
        <v>27</v>
      </c>
      <c r="B37" s="108" t="s">
        <v>45</v>
      </c>
      <c r="C37" s="350">
        <f>กมค.!A16</f>
        <v>4</v>
      </c>
      <c r="D37" s="351">
        <f>กมค.!F16</f>
        <v>682800</v>
      </c>
      <c r="E37" s="350">
        <f>กมค.!A21</f>
        <v>2</v>
      </c>
      <c r="F37" s="351">
        <f>กมค.!F21</f>
        <v>7010000</v>
      </c>
    </row>
    <row r="38" spans="1:6" ht="24" x14ac:dyDescent="0.55000000000000004">
      <c r="A38" s="109">
        <v>28</v>
      </c>
      <c r="B38" s="108" t="s">
        <v>40</v>
      </c>
      <c r="C38" s="350">
        <f>+สง.ก.ตร.!A13</f>
        <v>0</v>
      </c>
      <c r="D38" s="351">
        <f>สง.ก.ตร.!F13</f>
        <v>0</v>
      </c>
      <c r="E38" s="352" t="s">
        <v>209</v>
      </c>
      <c r="F38" s="374" t="s">
        <v>209</v>
      </c>
    </row>
    <row r="39" spans="1:6" ht="24" x14ac:dyDescent="0.55000000000000004">
      <c r="A39" s="109">
        <v>29</v>
      </c>
      <c r="B39" s="108" t="s">
        <v>36</v>
      </c>
      <c r="C39" s="350">
        <f>จต.!A13</f>
        <v>0</v>
      </c>
      <c r="D39" s="351">
        <f>จต.!F13</f>
        <v>0</v>
      </c>
      <c r="E39" s="352" t="s">
        <v>209</v>
      </c>
      <c r="F39" s="374" t="s">
        <v>209</v>
      </c>
    </row>
    <row r="40" spans="1:6" ht="24" x14ac:dyDescent="0.55000000000000004">
      <c r="A40" s="109">
        <v>30</v>
      </c>
      <c r="B40" s="108" t="s">
        <v>43</v>
      </c>
      <c r="C40" s="350" t="s">
        <v>209</v>
      </c>
      <c r="D40" s="372">
        <f>สตส.!F13</f>
        <v>0</v>
      </c>
      <c r="E40" s="352" t="s">
        <v>209</v>
      </c>
      <c r="F40" s="374" t="s">
        <v>209</v>
      </c>
    </row>
    <row r="41" spans="1:6" ht="24" x14ac:dyDescent="0.55000000000000004">
      <c r="A41" s="109">
        <v>31</v>
      </c>
      <c r="B41" s="108" t="s">
        <v>39</v>
      </c>
      <c r="C41" s="350">
        <f>+สลก.ตร.!A14</f>
        <v>0</v>
      </c>
      <c r="D41" s="373">
        <f>+สลก.ตร.!F14</f>
        <v>0</v>
      </c>
      <c r="E41" s="352" t="s">
        <v>209</v>
      </c>
      <c r="F41" s="374" t="s">
        <v>209</v>
      </c>
    </row>
    <row r="42" spans="1:6" ht="24" x14ac:dyDescent="0.55000000000000004">
      <c r="A42" s="109">
        <v>32</v>
      </c>
      <c r="B42" s="108" t="s">
        <v>42</v>
      </c>
      <c r="C42" s="350">
        <f>+ตท.!A16</f>
        <v>0</v>
      </c>
      <c r="D42" s="373">
        <f>+ตท.!F16</f>
        <v>0</v>
      </c>
      <c r="E42" s="352" t="s">
        <v>209</v>
      </c>
      <c r="F42" s="374" t="s">
        <v>209</v>
      </c>
    </row>
    <row r="43" spans="1:6" ht="24" x14ac:dyDescent="0.55000000000000004">
      <c r="A43" s="109">
        <v>33</v>
      </c>
      <c r="B43" s="108" t="s">
        <v>31</v>
      </c>
      <c r="C43" s="350">
        <f>สท.!A19</f>
        <v>7</v>
      </c>
      <c r="D43" s="351">
        <f>สท.!F19</f>
        <v>3742700</v>
      </c>
      <c r="E43" s="352" t="s">
        <v>209</v>
      </c>
      <c r="F43" s="374" t="s">
        <v>209</v>
      </c>
    </row>
    <row r="44" spans="1:6" ht="24" x14ac:dyDescent="0.55000000000000004">
      <c r="A44" s="109">
        <v>34</v>
      </c>
      <c r="B44" s="108" t="s">
        <v>152</v>
      </c>
      <c r="C44" s="350" t="s">
        <v>209</v>
      </c>
      <c r="D44" s="351">
        <f>สง.ก.ต.ช.!F13</f>
        <v>0</v>
      </c>
      <c r="E44" s="352" t="s">
        <v>209</v>
      </c>
      <c r="F44" s="374" t="s">
        <v>209</v>
      </c>
    </row>
    <row r="45" spans="1:6" ht="24" x14ac:dyDescent="0.55000000000000004">
      <c r="A45" s="109">
        <v>35</v>
      </c>
      <c r="B45" s="108" t="s">
        <v>208</v>
      </c>
      <c r="C45" s="350">
        <f>บ.ตร.!A17</f>
        <v>5</v>
      </c>
      <c r="D45" s="351">
        <f>บ.ตร.!F17</f>
        <v>841500000</v>
      </c>
      <c r="E45" s="350">
        <f>บ.ตร.!A24</f>
        <v>4</v>
      </c>
      <c r="F45" s="351">
        <f>บ.ตร.!F24</f>
        <v>39254800</v>
      </c>
    </row>
    <row r="46" spans="1:6" ht="24" x14ac:dyDescent="0.55000000000000004">
      <c r="A46" s="109">
        <v>36</v>
      </c>
      <c r="B46" s="108" t="s">
        <v>44</v>
      </c>
      <c r="C46" s="350">
        <f>วน.!A13</f>
        <v>0</v>
      </c>
      <c r="D46" s="351">
        <f>วน.!F13</f>
        <v>0</v>
      </c>
      <c r="E46" s="352" t="s">
        <v>209</v>
      </c>
      <c r="F46" s="354" t="s">
        <v>209</v>
      </c>
    </row>
    <row r="47" spans="1:6" ht="24" x14ac:dyDescent="0.55000000000000004">
      <c r="A47" s="38"/>
      <c r="B47" s="353" t="s">
        <v>197</v>
      </c>
      <c r="C47" s="109">
        <f>SUM(C10:C46)</f>
        <v>178</v>
      </c>
      <c r="D47" s="133">
        <f>SUM(D10:D46)</f>
        <v>3061852000</v>
      </c>
      <c r="E47" s="109">
        <f>SUM(E11:E46)</f>
        <v>116</v>
      </c>
      <c r="F47" s="133">
        <f>SUM(F10:F46)</f>
        <v>1576395100</v>
      </c>
    </row>
  </sheetData>
  <mergeCells count="5">
    <mergeCell ref="C8:D8"/>
    <mergeCell ref="E8:F8"/>
    <mergeCell ref="B8:B9"/>
    <mergeCell ref="A8:A9"/>
    <mergeCell ref="A1:F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13" sqref="J13"/>
    </sheetView>
  </sheetViews>
  <sheetFormatPr defaultRowHeight="12.75" x14ac:dyDescent="0.2"/>
  <cols>
    <col min="1" max="1" width="6.85546875" customWidth="1"/>
    <col min="2" max="2" width="9" customWidth="1"/>
    <col min="3" max="3" width="62.7109375" customWidth="1"/>
    <col min="4" max="4" width="9.28515625" customWidth="1"/>
    <col min="5" max="5" width="14.7109375" customWidth="1"/>
    <col min="6" max="6" width="15.28515625" bestFit="1" customWidth="1"/>
  </cols>
  <sheetData>
    <row r="1" spans="1:11" ht="24" x14ac:dyDescent="0.55000000000000004">
      <c r="A1" s="813" t="s">
        <v>520</v>
      </c>
      <c r="B1" s="813"/>
      <c r="C1" s="813"/>
      <c r="D1" s="813"/>
      <c r="E1" s="813"/>
      <c r="F1" s="813"/>
    </row>
    <row r="2" spans="1:11" ht="24" x14ac:dyDescent="0.55000000000000004">
      <c r="A2" s="813" t="s">
        <v>521</v>
      </c>
      <c r="B2" s="813"/>
      <c r="C2" s="813"/>
      <c r="D2" s="813"/>
      <c r="E2" s="813"/>
      <c r="F2" s="813"/>
    </row>
    <row r="4" spans="1:11" ht="24" x14ac:dyDescent="0.55000000000000004">
      <c r="A4" s="376" t="s">
        <v>19</v>
      </c>
      <c r="B4" s="377" t="s">
        <v>107</v>
      </c>
      <c r="C4" s="375" t="s">
        <v>29</v>
      </c>
      <c r="D4" s="377" t="s">
        <v>207</v>
      </c>
      <c r="E4" s="377" t="s">
        <v>498</v>
      </c>
      <c r="F4" s="378" t="s">
        <v>50</v>
      </c>
    </row>
    <row r="5" spans="1:11" ht="24.75" thickBot="1" x14ac:dyDescent="0.6">
      <c r="A5" s="379">
        <f>+A6+A7</f>
        <v>9</v>
      </c>
      <c r="B5" s="380"/>
      <c r="C5" s="381" t="s">
        <v>499</v>
      </c>
      <c r="D5" s="380"/>
      <c r="E5" s="380"/>
      <c r="F5" s="382">
        <f>+F6+F7</f>
        <v>1958402000</v>
      </c>
    </row>
    <row r="6" spans="1:11" ht="24.75" thickTop="1" x14ac:dyDescent="0.55000000000000004">
      <c r="A6" s="417">
        <f>+A9+A17+A28+A84+A137+A201+A237+A280+A289+A335+A365+A421+A458+A494+A517+A531+A645+A671+A687+A731+A746+A787+A792+A803+A829+A851+A867+A885+A893+A899+A903+A914+A928+A938+A942+A961+A968</f>
        <v>6</v>
      </c>
      <c r="B6" s="383"/>
      <c r="C6" s="384" t="s">
        <v>37</v>
      </c>
      <c r="D6" s="383"/>
      <c r="E6" s="383"/>
      <c r="F6" s="385">
        <f>+F9+F17+F28+F84+F137+F201+F237+F280+F289+F335+F365+F421+F458+F494+F517+F531+F645+F671+F687+F731+F746+F787+F792+F803+F829+F851+F867+F885+F893+F899+F903+F914+F928+F938+F942+F961+F968</f>
        <v>1948055000</v>
      </c>
    </row>
    <row r="7" spans="1:11" ht="24.75" thickBot="1" x14ac:dyDescent="0.6">
      <c r="A7" s="416">
        <f>+A13+A22+A48+A88+A144+A215+A247+A281+A303+A343+A378+A452+A491+A511+A518+A591+A661+A682+A717+A742+A783+A789+A800+A821+A842+A864+A880+A890+A896+A900+A911+A925+A935+A939+A955+A965+A977</f>
        <v>3</v>
      </c>
      <c r="B7" s="386"/>
      <c r="C7" s="387" t="s">
        <v>10</v>
      </c>
      <c r="D7" s="386"/>
      <c r="E7" s="386"/>
      <c r="F7" s="388">
        <f>+F13+F22+F48+F88+F144+F215+F247+F281+F303+F343+F378+F452+F491+F511+F518+F591+F661+F682+F717+F742+F783+F789+F800+F821+F842+F864+F880+F890+F896+F900+F911+F925+F935+F939+F955+F965+F977</f>
        <v>10347000</v>
      </c>
    </row>
    <row r="8" spans="1:11" ht="25.5" thickTop="1" thickBot="1" x14ac:dyDescent="0.6">
      <c r="A8" s="389">
        <f>+A9+A13</f>
        <v>2</v>
      </c>
      <c r="B8" s="383"/>
      <c r="C8" s="390" t="s">
        <v>500</v>
      </c>
      <c r="D8" s="383"/>
      <c r="E8" s="383"/>
      <c r="F8" s="382">
        <f>+F9+F13</f>
        <v>175000000</v>
      </c>
    </row>
    <row r="9" spans="1:11" ht="25.5" thickTop="1" thickBot="1" x14ac:dyDescent="0.6">
      <c r="A9" s="391">
        <f>+A11</f>
        <v>2</v>
      </c>
      <c r="B9" s="383"/>
      <c r="C9" s="384" t="s">
        <v>37</v>
      </c>
      <c r="D9" s="383"/>
      <c r="E9" s="383"/>
      <c r="F9" s="392">
        <f>SUM(F10:F12)</f>
        <v>175000000</v>
      </c>
    </row>
    <row r="10" spans="1:11" ht="24" x14ac:dyDescent="0.2">
      <c r="A10" s="393">
        <v>1</v>
      </c>
      <c r="B10" s="394"/>
      <c r="C10" s="395" t="s">
        <v>501</v>
      </c>
      <c r="D10" s="396"/>
      <c r="E10" s="393"/>
      <c r="F10" s="397">
        <v>123510000</v>
      </c>
      <c r="K10" s="362"/>
    </row>
    <row r="11" spans="1:11" ht="24" x14ac:dyDescent="0.2">
      <c r="A11" s="393">
        <f>+A10+1</f>
        <v>2</v>
      </c>
      <c r="B11" s="394"/>
      <c r="C11" s="395" t="s">
        <v>502</v>
      </c>
      <c r="D11" s="396" t="s">
        <v>503</v>
      </c>
      <c r="E11" s="393"/>
      <c r="F11" s="398">
        <v>51490000</v>
      </c>
    </row>
    <row r="12" spans="1:11" ht="24" x14ac:dyDescent="0.2">
      <c r="A12" s="393"/>
      <c r="B12" s="394"/>
      <c r="C12" s="395"/>
      <c r="D12" s="396"/>
      <c r="E12" s="399"/>
      <c r="F12" s="398"/>
    </row>
    <row r="13" spans="1:11" ht="24.75" thickBot="1" x14ac:dyDescent="0.6">
      <c r="A13" s="391">
        <f>+A14</f>
        <v>0</v>
      </c>
      <c r="B13" s="400"/>
      <c r="C13" s="384" t="s">
        <v>10</v>
      </c>
      <c r="D13" s="401"/>
      <c r="E13" s="402"/>
      <c r="F13" s="403">
        <f>+F14</f>
        <v>0</v>
      </c>
    </row>
    <row r="14" spans="1:11" ht="24" x14ac:dyDescent="0.55000000000000004">
      <c r="A14" s="404"/>
      <c r="B14" s="405"/>
      <c r="C14" s="406"/>
      <c r="D14" s="404"/>
      <c r="E14" s="404"/>
      <c r="F14" s="397"/>
    </row>
    <row r="15" spans="1:11" ht="24.75" thickBot="1" x14ac:dyDescent="0.6">
      <c r="A15" s="407"/>
      <c r="B15" s="408"/>
      <c r="C15" s="409"/>
      <c r="D15" s="407"/>
      <c r="E15" s="407"/>
      <c r="F15" s="410"/>
    </row>
    <row r="16" spans="1:11" ht="48.75" thickBot="1" x14ac:dyDescent="0.6">
      <c r="A16" s="422">
        <f>+A17+A22</f>
        <v>6</v>
      </c>
      <c r="B16" s="411"/>
      <c r="C16" s="421" t="s">
        <v>504</v>
      </c>
      <c r="D16" s="411"/>
      <c r="E16" s="411"/>
      <c r="F16" s="412">
        <f>+F17+F22</f>
        <v>12402000</v>
      </c>
    </row>
    <row r="17" spans="1:11" ht="25.5" thickTop="1" thickBot="1" x14ac:dyDescent="0.6">
      <c r="A17" s="413">
        <f>+A20</f>
        <v>3</v>
      </c>
      <c r="B17" s="411"/>
      <c r="C17" s="384" t="s">
        <v>37</v>
      </c>
      <c r="D17" s="411"/>
      <c r="E17" s="411"/>
      <c r="F17" s="414">
        <f>SUM(F18:F20)</f>
        <v>2055000</v>
      </c>
    </row>
    <row r="18" spans="1:11" ht="72" x14ac:dyDescent="0.2">
      <c r="A18" s="393">
        <v>1</v>
      </c>
      <c r="B18" s="394"/>
      <c r="C18" s="395" t="s">
        <v>505</v>
      </c>
      <c r="D18" s="396" t="s">
        <v>506</v>
      </c>
      <c r="E18" s="399"/>
      <c r="F18" s="397">
        <v>1677000</v>
      </c>
    </row>
    <row r="19" spans="1:11" ht="72" x14ac:dyDescent="0.2">
      <c r="A19" s="393">
        <v>2</v>
      </c>
      <c r="B19" s="394"/>
      <c r="C19" s="395" t="s">
        <v>507</v>
      </c>
      <c r="D19" s="396" t="s">
        <v>508</v>
      </c>
      <c r="E19" s="399"/>
      <c r="F19" s="398">
        <v>90000</v>
      </c>
    </row>
    <row r="20" spans="1:11" ht="72" x14ac:dyDescent="0.2">
      <c r="A20" s="393">
        <v>3</v>
      </c>
      <c r="B20" s="394"/>
      <c r="C20" s="395" t="s">
        <v>509</v>
      </c>
      <c r="D20" s="396" t="s">
        <v>510</v>
      </c>
      <c r="E20" s="399"/>
      <c r="F20" s="398">
        <v>288000</v>
      </c>
    </row>
    <row r="21" spans="1:11" ht="24" x14ac:dyDescent="0.2">
      <c r="A21" s="418"/>
      <c r="B21" s="400"/>
      <c r="C21" s="419"/>
      <c r="D21" s="401"/>
      <c r="E21" s="402"/>
      <c r="F21" s="420"/>
    </row>
    <row r="22" spans="1:11" ht="24.75" thickBot="1" x14ac:dyDescent="0.6">
      <c r="A22" s="391">
        <f>+A25</f>
        <v>3</v>
      </c>
      <c r="B22" s="400"/>
      <c r="C22" s="384" t="s">
        <v>10</v>
      </c>
      <c r="D22" s="401"/>
      <c r="E22" s="402"/>
      <c r="F22" s="415">
        <f>SUM(F23:F25)</f>
        <v>10347000</v>
      </c>
    </row>
    <row r="23" spans="1:11" ht="120" x14ac:dyDescent="0.2">
      <c r="A23" s="393">
        <v>1</v>
      </c>
      <c r="B23" s="394"/>
      <c r="C23" s="395" t="s">
        <v>513</v>
      </c>
      <c r="D23" s="393" t="s">
        <v>514</v>
      </c>
      <c r="E23" s="393"/>
      <c r="F23" s="397">
        <v>1500000</v>
      </c>
    </row>
    <row r="24" spans="1:11" ht="48" x14ac:dyDescent="0.2">
      <c r="A24" s="393">
        <v>2</v>
      </c>
      <c r="B24" s="394"/>
      <c r="C24" s="395" t="s">
        <v>511</v>
      </c>
      <c r="D24" s="393" t="s">
        <v>512</v>
      </c>
      <c r="E24" s="393"/>
      <c r="F24" s="397">
        <v>7864000</v>
      </c>
    </row>
    <row r="25" spans="1:11" ht="72.75" thickBot="1" x14ac:dyDescent="0.25">
      <c r="A25" s="393">
        <v>3</v>
      </c>
      <c r="B25" s="394"/>
      <c r="C25" s="395" t="s">
        <v>515</v>
      </c>
      <c r="D25" s="393" t="s">
        <v>516</v>
      </c>
      <c r="E25" s="393"/>
      <c r="F25" s="398">
        <v>983000</v>
      </c>
    </row>
    <row r="26" spans="1:11" ht="24.75" thickBot="1" x14ac:dyDescent="0.6">
      <c r="A26" s="389">
        <f>+A27+A31</f>
        <v>2</v>
      </c>
      <c r="B26" s="383"/>
      <c r="C26" s="390" t="s">
        <v>517</v>
      </c>
      <c r="D26" s="383"/>
      <c r="E26" s="383"/>
      <c r="F26" s="382">
        <f>+F27+F31</f>
        <v>1976000000</v>
      </c>
    </row>
    <row r="27" spans="1:11" ht="25.5" thickTop="1" thickBot="1" x14ac:dyDescent="0.6">
      <c r="A27" s="391">
        <f>+A29</f>
        <v>2</v>
      </c>
      <c r="B27" s="383"/>
      <c r="C27" s="384" t="s">
        <v>37</v>
      </c>
      <c r="D27" s="383"/>
      <c r="E27" s="383"/>
      <c r="F27" s="392">
        <f>SUM(F28:F30)</f>
        <v>1976000000</v>
      </c>
    </row>
    <row r="28" spans="1:11" ht="24" x14ac:dyDescent="0.2">
      <c r="A28" s="393">
        <v>1</v>
      </c>
      <c r="B28" s="394"/>
      <c r="C28" s="395" t="s">
        <v>518</v>
      </c>
      <c r="D28" s="396"/>
      <c r="E28" s="393"/>
      <c r="F28" s="397">
        <v>1771000000</v>
      </c>
      <c r="K28" s="362"/>
    </row>
    <row r="29" spans="1:11" ht="24" x14ac:dyDescent="0.2">
      <c r="A29" s="393">
        <f>+A28+1</f>
        <v>2</v>
      </c>
      <c r="B29" s="394"/>
      <c r="C29" s="395" t="s">
        <v>519</v>
      </c>
      <c r="D29" s="396"/>
      <c r="E29" s="393"/>
      <c r="F29" s="398">
        <v>205000000</v>
      </c>
    </row>
    <row r="30" spans="1:11" ht="24" x14ac:dyDescent="0.2">
      <c r="A30" s="393"/>
      <c r="B30" s="394"/>
      <c r="C30" s="395"/>
      <c r="D30" s="396"/>
      <c r="E30" s="399"/>
      <c r="F30" s="398"/>
    </row>
    <row r="31" spans="1:11" ht="24.75" thickBot="1" x14ac:dyDescent="0.6">
      <c r="A31" s="391">
        <f>+A32</f>
        <v>0</v>
      </c>
      <c r="B31" s="400"/>
      <c r="C31" s="384" t="s">
        <v>10</v>
      </c>
      <c r="D31" s="401"/>
      <c r="E31" s="402"/>
      <c r="F31" s="403">
        <f>+F32</f>
        <v>0</v>
      </c>
    </row>
    <row r="32" spans="1:11" ht="24" x14ac:dyDescent="0.55000000000000004">
      <c r="A32" s="404"/>
      <c r="B32" s="405"/>
      <c r="C32" s="406"/>
      <c r="D32" s="404"/>
      <c r="E32" s="404"/>
      <c r="F32" s="397"/>
    </row>
    <row r="33" spans="1:6" ht="24.75" thickBot="1" x14ac:dyDescent="0.6">
      <c r="A33" s="407"/>
      <c r="B33" s="408"/>
      <c r="C33" s="409"/>
      <c r="D33" s="407"/>
      <c r="E33" s="407"/>
      <c r="F33" s="410"/>
    </row>
  </sheetData>
  <mergeCells count="2">
    <mergeCell ref="A1:F1"/>
    <mergeCell ref="A2:F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B1" workbookViewId="0">
      <selection activeCell="L15" sqref="L15"/>
    </sheetView>
  </sheetViews>
  <sheetFormatPr defaultRowHeight="24" x14ac:dyDescent="0.55000000000000004"/>
  <cols>
    <col min="1" max="1" width="0" style="131" hidden="1" customWidth="1"/>
    <col min="2" max="5" width="9.140625" style="38"/>
    <col min="6" max="6" width="18.7109375" style="38" customWidth="1"/>
    <col min="7" max="16384" width="9.140625" style="38"/>
  </cols>
  <sheetData>
    <row r="1" spans="1:10" s="40" customFormat="1" x14ac:dyDescent="0.55000000000000004">
      <c r="A1" s="157"/>
      <c r="B1" s="798" t="s">
        <v>131</v>
      </c>
      <c r="C1" s="798"/>
      <c r="D1" s="798"/>
      <c r="E1" s="798"/>
      <c r="F1" s="798"/>
      <c r="G1" s="798"/>
    </row>
    <row r="2" spans="1:10" s="40" customFormat="1" x14ac:dyDescent="0.55000000000000004">
      <c r="A2" s="157"/>
      <c r="B2" s="798" t="s">
        <v>126</v>
      </c>
      <c r="C2" s="798"/>
      <c r="D2" s="798"/>
      <c r="E2" s="798"/>
      <c r="F2" s="798"/>
      <c r="G2" s="798"/>
      <c r="J2" s="169"/>
    </row>
    <row r="3" spans="1:10" s="40" customFormat="1" x14ac:dyDescent="0.55000000000000004">
      <c r="A3" s="157"/>
      <c r="B3" s="798" t="s">
        <v>134</v>
      </c>
      <c r="C3" s="798"/>
      <c r="D3" s="798"/>
      <c r="E3" s="798"/>
      <c r="F3" s="798"/>
      <c r="G3" s="798"/>
    </row>
    <row r="4" spans="1:10" s="40" customFormat="1" x14ac:dyDescent="0.55000000000000004">
      <c r="A4" s="157"/>
      <c r="B4" s="165" t="s">
        <v>132</v>
      </c>
      <c r="C4" s="36"/>
      <c r="D4" s="36"/>
      <c r="E4" s="36"/>
      <c r="F4" s="170" t="e">
        <f>+Sheet2!Y44</f>
        <v>#REF!</v>
      </c>
      <c r="G4" s="36" t="s">
        <v>133</v>
      </c>
      <c r="I4" s="171" t="e">
        <f>+F4*100/[4]สรุปภาพรวม!D44</f>
        <v>#REF!</v>
      </c>
    </row>
    <row r="5" spans="1:10" x14ac:dyDescent="0.55000000000000004">
      <c r="B5" s="815" t="s">
        <v>135</v>
      </c>
      <c r="C5" s="815"/>
      <c r="D5" s="815"/>
      <c r="E5" s="815"/>
      <c r="F5" s="815"/>
      <c r="G5" s="815"/>
    </row>
    <row r="6" spans="1:10" x14ac:dyDescent="0.55000000000000004">
      <c r="B6" s="165"/>
      <c r="C6" s="165"/>
      <c r="D6" s="165"/>
      <c r="E6" s="165"/>
      <c r="F6" s="171"/>
      <c r="G6" s="165"/>
      <c r="H6" s="87"/>
    </row>
    <row r="7" spans="1:10" x14ac:dyDescent="0.55000000000000004">
      <c r="B7" s="38" t="s">
        <v>136</v>
      </c>
    </row>
    <row r="8" spans="1:10" x14ac:dyDescent="0.55000000000000004">
      <c r="A8" s="131">
        <f>1+A13</f>
        <v>3</v>
      </c>
      <c r="B8" s="38" t="s">
        <v>44</v>
      </c>
      <c r="D8" s="38" t="s">
        <v>96</v>
      </c>
      <c r="F8" s="172">
        <v>100</v>
      </c>
    </row>
    <row r="9" spans="1:10" x14ac:dyDescent="0.55000000000000004">
      <c r="A9" s="131" t="e">
        <f>1+#REF!</f>
        <v>#REF!</v>
      </c>
      <c r="F9" s="176"/>
      <c r="G9" s="814"/>
      <c r="H9" s="814"/>
    </row>
    <row r="10" spans="1:10" x14ac:dyDescent="0.55000000000000004">
      <c r="B10" s="40" t="s">
        <v>137</v>
      </c>
      <c r="C10" s="40"/>
      <c r="D10" s="40"/>
      <c r="E10" s="40"/>
      <c r="F10" s="40"/>
    </row>
    <row r="11" spans="1:10" s="40" customFormat="1" x14ac:dyDescent="0.55000000000000004">
      <c r="A11" s="157"/>
      <c r="B11" s="40" t="s">
        <v>139</v>
      </c>
    </row>
    <row r="12" spans="1:10" x14ac:dyDescent="0.55000000000000004">
      <c r="A12" s="131">
        <v>1</v>
      </c>
      <c r="B12" s="38" t="s">
        <v>13</v>
      </c>
      <c r="D12" s="38" t="s">
        <v>96</v>
      </c>
      <c r="F12" s="174">
        <f>+Sheet2!AB22</f>
        <v>0</v>
      </c>
    </row>
    <row r="13" spans="1:10" x14ac:dyDescent="0.55000000000000004">
      <c r="A13" s="131">
        <f>1+A12</f>
        <v>2</v>
      </c>
      <c r="B13" s="38" t="s">
        <v>15</v>
      </c>
      <c r="D13" s="38" t="s">
        <v>96</v>
      </c>
      <c r="F13" s="172">
        <f>+Sheet2!AB23</f>
        <v>0</v>
      </c>
    </row>
    <row r="14" spans="1:10" x14ac:dyDescent="0.55000000000000004">
      <c r="A14" s="131">
        <v>1</v>
      </c>
      <c r="B14" s="38" t="s">
        <v>1</v>
      </c>
      <c r="D14" s="38" t="s">
        <v>96</v>
      </c>
      <c r="F14" s="173">
        <f>+Sheet2!AB29</f>
        <v>0</v>
      </c>
    </row>
    <row r="15" spans="1:10" x14ac:dyDescent="0.55000000000000004">
      <c r="A15" s="131">
        <v>1</v>
      </c>
      <c r="B15" s="38" t="s">
        <v>4</v>
      </c>
      <c r="D15" s="38" t="s">
        <v>96</v>
      </c>
      <c r="F15" s="178" t="e">
        <f>+Sheet2!AB13</f>
        <v>#REF!</v>
      </c>
      <c r="G15" s="814"/>
      <c r="H15" s="814"/>
    </row>
    <row r="16" spans="1:10" x14ac:dyDescent="0.55000000000000004">
      <c r="A16" s="131">
        <f>1+A14</f>
        <v>2</v>
      </c>
      <c r="B16" s="177"/>
      <c r="F16" s="172"/>
    </row>
    <row r="17" spans="1:11" s="40" customFormat="1" x14ac:dyDescent="0.55000000000000004">
      <c r="A17" s="157"/>
      <c r="B17" s="40" t="s">
        <v>138</v>
      </c>
    </row>
    <row r="18" spans="1:11" x14ac:dyDescent="0.55000000000000004">
      <c r="A18" s="131" t="e">
        <f>1+#REF!</f>
        <v>#REF!</v>
      </c>
      <c r="B18" s="177" t="s">
        <v>14</v>
      </c>
      <c r="C18" s="177"/>
      <c r="D18" s="177" t="s">
        <v>96</v>
      </c>
      <c r="E18" s="177"/>
      <c r="F18" s="176">
        <v>0</v>
      </c>
      <c r="G18" s="158"/>
      <c r="K18" s="158">
        <v>1</v>
      </c>
    </row>
    <row r="19" spans="1:11" x14ac:dyDescent="0.55000000000000004">
      <c r="A19" s="131" t="e">
        <f>1+A18</f>
        <v>#REF!</v>
      </c>
      <c r="B19" s="177" t="s">
        <v>12</v>
      </c>
      <c r="C19" s="177"/>
      <c r="D19" s="177" t="s">
        <v>96</v>
      </c>
      <c r="E19" s="177"/>
      <c r="F19" s="176">
        <v>0</v>
      </c>
      <c r="G19" s="158"/>
      <c r="K19" s="158">
        <f>1+K18</f>
        <v>2</v>
      </c>
    </row>
    <row r="20" spans="1:11" x14ac:dyDescent="0.55000000000000004">
      <c r="B20" s="177" t="s">
        <v>9</v>
      </c>
      <c r="C20" s="177"/>
      <c r="D20" s="177" t="s">
        <v>96</v>
      </c>
      <c r="E20" s="177"/>
      <c r="F20" s="176">
        <v>0</v>
      </c>
      <c r="K20" s="158">
        <f t="shared" ref="K20:K47" si="0">1+K19</f>
        <v>3</v>
      </c>
    </row>
    <row r="21" spans="1:11" x14ac:dyDescent="0.55000000000000004">
      <c r="B21" s="177" t="s">
        <v>6</v>
      </c>
      <c r="C21" s="177"/>
      <c r="D21" s="177" t="s">
        <v>96</v>
      </c>
      <c r="E21" s="177"/>
      <c r="F21" s="176">
        <v>0</v>
      </c>
      <c r="K21" s="158">
        <f t="shared" si="0"/>
        <v>4</v>
      </c>
    </row>
    <row r="22" spans="1:11" x14ac:dyDescent="0.55000000000000004">
      <c r="B22" s="177" t="s">
        <v>27</v>
      </c>
      <c r="D22" s="177" t="s">
        <v>96</v>
      </c>
      <c r="F22" s="176">
        <v>0</v>
      </c>
      <c r="K22" s="158">
        <f t="shared" si="0"/>
        <v>5</v>
      </c>
    </row>
    <row r="23" spans="1:11" x14ac:dyDescent="0.55000000000000004">
      <c r="B23" s="177" t="s">
        <v>23</v>
      </c>
      <c r="D23" s="177" t="s">
        <v>96</v>
      </c>
      <c r="F23" s="176">
        <v>0</v>
      </c>
      <c r="K23" s="158">
        <f t="shared" si="0"/>
        <v>6</v>
      </c>
    </row>
    <row r="24" spans="1:11" x14ac:dyDescent="0.55000000000000004">
      <c r="B24" s="177" t="s">
        <v>24</v>
      </c>
      <c r="D24" s="177" t="s">
        <v>96</v>
      </c>
      <c r="F24" s="176">
        <v>0</v>
      </c>
      <c r="K24" s="158">
        <f t="shared" si="0"/>
        <v>7</v>
      </c>
    </row>
    <row r="25" spans="1:11" x14ac:dyDescent="0.55000000000000004">
      <c r="B25" s="38" t="s">
        <v>7</v>
      </c>
      <c r="D25" s="177" t="s">
        <v>96</v>
      </c>
      <c r="F25" s="176">
        <v>0</v>
      </c>
      <c r="K25" s="158">
        <f t="shared" si="0"/>
        <v>8</v>
      </c>
    </row>
    <row r="26" spans="1:11" x14ac:dyDescent="0.55000000000000004">
      <c r="B26" s="38" t="s">
        <v>16</v>
      </c>
      <c r="D26" s="177" t="s">
        <v>96</v>
      </c>
      <c r="F26" s="176">
        <v>0</v>
      </c>
      <c r="K26" s="158">
        <f t="shared" si="0"/>
        <v>9</v>
      </c>
    </row>
    <row r="27" spans="1:11" x14ac:dyDescent="0.55000000000000004">
      <c r="B27" s="38" t="s">
        <v>105</v>
      </c>
      <c r="D27" s="177" t="s">
        <v>96</v>
      </c>
      <c r="F27" s="176">
        <v>0</v>
      </c>
      <c r="K27" s="158">
        <f t="shared" si="0"/>
        <v>10</v>
      </c>
    </row>
    <row r="28" spans="1:11" x14ac:dyDescent="0.55000000000000004">
      <c r="B28" s="38" t="s">
        <v>11</v>
      </c>
      <c r="D28" s="177" t="s">
        <v>96</v>
      </c>
      <c r="F28" s="176">
        <v>0</v>
      </c>
      <c r="K28" s="158">
        <f t="shared" si="0"/>
        <v>11</v>
      </c>
    </row>
    <row r="29" spans="1:11" x14ac:dyDescent="0.55000000000000004">
      <c r="B29" s="38" t="s">
        <v>17</v>
      </c>
      <c r="D29" s="177" t="s">
        <v>96</v>
      </c>
      <c r="F29" s="176">
        <v>0</v>
      </c>
      <c r="K29" s="158">
        <f t="shared" si="0"/>
        <v>12</v>
      </c>
    </row>
    <row r="30" spans="1:11" x14ac:dyDescent="0.55000000000000004">
      <c r="B30" s="38" t="s">
        <v>0</v>
      </c>
      <c r="D30" s="177" t="s">
        <v>96</v>
      </c>
      <c r="F30" s="176">
        <v>0</v>
      </c>
      <c r="K30" s="158">
        <f t="shared" si="0"/>
        <v>13</v>
      </c>
    </row>
    <row r="31" spans="1:11" x14ac:dyDescent="0.55000000000000004">
      <c r="B31" s="38" t="s">
        <v>45</v>
      </c>
      <c r="D31" s="177" t="s">
        <v>96</v>
      </c>
      <c r="F31" s="176">
        <v>0</v>
      </c>
      <c r="K31" s="158">
        <f t="shared" si="0"/>
        <v>14</v>
      </c>
    </row>
    <row r="32" spans="1:11" x14ac:dyDescent="0.55000000000000004">
      <c r="B32" s="38" t="s">
        <v>36</v>
      </c>
      <c r="D32" s="177" t="s">
        <v>96</v>
      </c>
      <c r="F32" s="176">
        <v>0</v>
      </c>
      <c r="K32" s="158">
        <f t="shared" si="0"/>
        <v>15</v>
      </c>
    </row>
    <row r="33" spans="2:11" x14ac:dyDescent="0.55000000000000004">
      <c r="B33" s="38" t="s">
        <v>5</v>
      </c>
      <c r="D33" s="177" t="s">
        <v>96</v>
      </c>
      <c r="F33" s="176">
        <v>0</v>
      </c>
      <c r="K33" s="158">
        <f t="shared" si="0"/>
        <v>16</v>
      </c>
    </row>
    <row r="34" spans="2:11" x14ac:dyDescent="0.55000000000000004">
      <c r="B34" s="38" t="s">
        <v>2</v>
      </c>
      <c r="D34" s="177" t="s">
        <v>96</v>
      </c>
      <c r="F34" s="176">
        <v>0</v>
      </c>
      <c r="K34" s="158">
        <f t="shared" si="0"/>
        <v>17</v>
      </c>
    </row>
    <row r="35" spans="2:11" x14ac:dyDescent="0.55000000000000004">
      <c r="B35" s="38" t="s">
        <v>34</v>
      </c>
      <c r="D35" s="177" t="s">
        <v>96</v>
      </c>
      <c r="F35" s="176">
        <v>0</v>
      </c>
      <c r="K35" s="158">
        <f t="shared" si="0"/>
        <v>18</v>
      </c>
    </row>
    <row r="36" spans="2:11" x14ac:dyDescent="0.55000000000000004">
      <c r="B36" s="38" t="s">
        <v>28</v>
      </c>
      <c r="D36" s="177" t="s">
        <v>96</v>
      </c>
      <c r="F36" s="176">
        <v>0</v>
      </c>
      <c r="K36" s="158">
        <f t="shared" si="0"/>
        <v>19</v>
      </c>
    </row>
    <row r="37" spans="2:11" x14ac:dyDescent="0.55000000000000004">
      <c r="B37" s="38" t="s">
        <v>35</v>
      </c>
      <c r="D37" s="177" t="s">
        <v>96</v>
      </c>
      <c r="F37" s="176">
        <v>0</v>
      </c>
      <c r="K37" s="158">
        <f t="shared" si="0"/>
        <v>20</v>
      </c>
    </row>
    <row r="38" spans="2:11" x14ac:dyDescent="0.55000000000000004">
      <c r="B38" s="38" t="s">
        <v>40</v>
      </c>
      <c r="D38" s="177" t="s">
        <v>96</v>
      </c>
      <c r="F38" s="176">
        <v>0</v>
      </c>
      <c r="K38" s="158">
        <f t="shared" si="0"/>
        <v>21</v>
      </c>
    </row>
    <row r="39" spans="2:11" x14ac:dyDescent="0.55000000000000004">
      <c r="B39" s="38" t="s">
        <v>43</v>
      </c>
      <c r="D39" s="177" t="s">
        <v>96</v>
      </c>
      <c r="F39" s="176">
        <v>0</v>
      </c>
      <c r="K39" s="158">
        <f t="shared" si="0"/>
        <v>22</v>
      </c>
    </row>
    <row r="40" spans="2:11" x14ac:dyDescent="0.55000000000000004">
      <c r="B40" s="38" t="s">
        <v>38</v>
      </c>
      <c r="D40" s="177" t="s">
        <v>96</v>
      </c>
      <c r="F40" s="176">
        <v>0</v>
      </c>
      <c r="K40" s="158">
        <f t="shared" si="0"/>
        <v>23</v>
      </c>
    </row>
    <row r="41" spans="2:11" x14ac:dyDescent="0.55000000000000004">
      <c r="B41" s="38" t="s">
        <v>39</v>
      </c>
      <c r="D41" s="177" t="s">
        <v>96</v>
      </c>
      <c r="F41" s="176">
        <v>0</v>
      </c>
      <c r="K41" s="158">
        <f t="shared" si="0"/>
        <v>24</v>
      </c>
    </row>
    <row r="42" spans="2:11" x14ac:dyDescent="0.55000000000000004">
      <c r="B42" s="38" t="s">
        <v>41</v>
      </c>
      <c r="D42" s="177" t="s">
        <v>96</v>
      </c>
      <c r="F42" s="176">
        <v>0</v>
      </c>
      <c r="K42" s="158">
        <f t="shared" si="0"/>
        <v>25</v>
      </c>
    </row>
    <row r="43" spans="2:11" x14ac:dyDescent="0.55000000000000004">
      <c r="B43" s="38" t="s">
        <v>22</v>
      </c>
      <c r="D43" s="177" t="s">
        <v>96</v>
      </c>
      <c r="F43" s="176">
        <v>0</v>
      </c>
      <c r="K43" s="158">
        <f t="shared" si="0"/>
        <v>26</v>
      </c>
    </row>
    <row r="44" spans="2:11" x14ac:dyDescent="0.55000000000000004">
      <c r="B44" s="38" t="s">
        <v>42</v>
      </c>
      <c r="D44" s="177" t="s">
        <v>96</v>
      </c>
      <c r="F44" s="176">
        <v>0</v>
      </c>
      <c r="K44" s="158">
        <f t="shared" si="0"/>
        <v>27</v>
      </c>
    </row>
    <row r="45" spans="2:11" x14ac:dyDescent="0.55000000000000004">
      <c r="B45" s="38" t="s">
        <v>31</v>
      </c>
      <c r="D45" s="177" t="s">
        <v>96</v>
      </c>
      <c r="F45" s="176">
        <v>0</v>
      </c>
      <c r="K45" s="158">
        <f t="shared" si="0"/>
        <v>28</v>
      </c>
    </row>
    <row r="46" spans="2:11" x14ac:dyDescent="0.55000000000000004">
      <c r="B46" s="38" t="s">
        <v>104</v>
      </c>
      <c r="D46" s="177" t="s">
        <v>96</v>
      </c>
      <c r="F46" s="176">
        <v>0</v>
      </c>
      <c r="K46" s="158">
        <f t="shared" si="0"/>
        <v>29</v>
      </c>
    </row>
    <row r="47" spans="2:11" x14ac:dyDescent="0.55000000000000004">
      <c r="B47" s="38" t="s">
        <v>130</v>
      </c>
      <c r="D47" s="177" t="s">
        <v>96</v>
      </c>
      <c r="F47" s="176">
        <v>0</v>
      </c>
      <c r="K47" s="158">
        <f t="shared" si="0"/>
        <v>30</v>
      </c>
    </row>
  </sheetData>
  <mergeCells count="6">
    <mergeCell ref="G15:H15"/>
    <mergeCell ref="B1:G1"/>
    <mergeCell ref="B2:G2"/>
    <mergeCell ref="B3:G3"/>
    <mergeCell ref="B5:G5"/>
    <mergeCell ref="G9:H9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view="pageBreakPreview" topLeftCell="A28" zoomScaleNormal="100" zoomScaleSheetLayoutView="100" workbookViewId="0">
      <selection activeCell="F8" sqref="F8"/>
    </sheetView>
  </sheetViews>
  <sheetFormatPr defaultRowHeight="24" x14ac:dyDescent="0.55000000000000004"/>
  <cols>
    <col min="1" max="1" width="9.140625" style="40"/>
    <col min="2" max="2" width="16.140625" style="194" customWidth="1"/>
    <col min="3" max="3" width="18.28515625" style="37" customWidth="1"/>
    <col min="4" max="4" width="7" style="38" customWidth="1"/>
    <col min="5" max="5" width="16.5703125" style="37" customWidth="1"/>
    <col min="6" max="6" width="7.42578125" style="38" customWidth="1"/>
    <col min="7" max="7" width="19.140625" style="37" customWidth="1"/>
    <col min="8" max="8" width="6.7109375" style="38" customWidth="1"/>
    <col min="9" max="9" width="14.140625" style="38" bestFit="1" customWidth="1"/>
    <col min="10" max="16384" width="9.140625" style="38"/>
  </cols>
  <sheetData>
    <row r="1" spans="1:11" s="40" customFormat="1" x14ac:dyDescent="0.55000000000000004">
      <c r="A1" s="798" t="s">
        <v>141</v>
      </c>
      <c r="B1" s="798"/>
      <c r="C1" s="798"/>
      <c r="D1" s="798"/>
      <c r="E1" s="798"/>
      <c r="F1" s="798"/>
      <c r="G1" s="798"/>
      <c r="H1" s="798"/>
    </row>
    <row r="2" spans="1:11" s="40" customFormat="1" x14ac:dyDescent="0.55000000000000004">
      <c r="A2" s="798" t="s">
        <v>148</v>
      </c>
      <c r="B2" s="798"/>
      <c r="C2" s="798"/>
      <c r="D2" s="798"/>
      <c r="E2" s="798"/>
      <c r="F2" s="798"/>
      <c r="G2" s="798"/>
      <c r="H2" s="798"/>
    </row>
    <row r="3" spans="1:11" s="131" customFormat="1" x14ac:dyDescent="0.55000000000000004">
      <c r="A3" s="157"/>
      <c r="C3" s="149"/>
      <c r="E3" s="149"/>
      <c r="G3" s="149"/>
    </row>
    <row r="4" spans="1:11" s="187" customFormat="1" ht="48.75" customHeight="1" x14ac:dyDescent="0.2">
      <c r="A4" s="74" t="s">
        <v>107</v>
      </c>
      <c r="B4" s="816" t="s">
        <v>146</v>
      </c>
      <c r="C4" s="817"/>
      <c r="D4" s="185" t="s">
        <v>49</v>
      </c>
      <c r="E4" s="212" t="s">
        <v>143</v>
      </c>
      <c r="F4" s="185" t="s">
        <v>49</v>
      </c>
      <c r="G4" s="206" t="s">
        <v>144</v>
      </c>
      <c r="H4" s="185" t="s">
        <v>49</v>
      </c>
    </row>
    <row r="5" spans="1:11" s="157" customFormat="1" x14ac:dyDescent="0.55000000000000004">
      <c r="A5" s="207" t="s">
        <v>14</v>
      </c>
      <c r="B5" s="197" t="s">
        <v>50</v>
      </c>
      <c r="C5" s="198">
        <f t="shared" ref="C5:D8" si="0">+E5+G5</f>
        <v>25634500</v>
      </c>
      <c r="D5" s="201">
        <f t="shared" si="0"/>
        <v>7</v>
      </c>
      <c r="E5" s="213">
        <f>+E6+E7</f>
        <v>7918900</v>
      </c>
      <c r="F5" s="201">
        <f>+F6+F7</f>
        <v>6</v>
      </c>
      <c r="G5" s="198">
        <f>+G6+G7</f>
        <v>17715600</v>
      </c>
      <c r="H5" s="201">
        <f>+H6+H7</f>
        <v>1</v>
      </c>
      <c r="I5" s="157">
        <f>+D5+D10+D15+D20+D25+D30+D35+D40+D45+D50+D55+D60+D65+D70+D75+D80+D85+D90+D95+D100+D105+D110+D115+D120+D125+D130+D135+D140+D145+D150+D155+D160+D165+D170+D175</f>
        <v>316</v>
      </c>
      <c r="K5" s="196">
        <f>+K6+K7</f>
        <v>316</v>
      </c>
    </row>
    <row r="6" spans="1:11" s="131" customFormat="1" x14ac:dyDescent="0.55000000000000004">
      <c r="A6" s="208"/>
      <c r="B6" s="211" t="s">
        <v>142</v>
      </c>
      <c r="C6" s="199">
        <f t="shared" si="0"/>
        <v>0</v>
      </c>
      <c r="D6" s="139">
        <f t="shared" si="0"/>
        <v>7</v>
      </c>
      <c r="E6" s="214">
        <f>+Sheet2!E20</f>
        <v>0</v>
      </c>
      <c r="F6" s="139">
        <v>6</v>
      </c>
      <c r="G6" s="199">
        <f>+Sheet2!M20</f>
        <v>0</v>
      </c>
      <c r="H6" s="139">
        <v>1</v>
      </c>
      <c r="I6" s="195">
        <f>+F6+F11+F16+F21+F26+F31+F36+F41+F46+F51+F56+F61+F66+F71+F76+F81+F86+F91+F96+F101+F106+F111+F116+F121+F126+F131+F136+F141+F146+F151+F156+F161+F166+F171+F176</f>
        <v>226</v>
      </c>
      <c r="J6" s="195">
        <f>+H6+H11+H16+H21+H26+H31+H36+H41+H46+H51+H56+H61+H66+H71+H76+H81+H86+H91+H96+H101+H106+H111+H116+H121+H126+H131+H136+H141+H146+H151+H156+H161+H166+H171+H176</f>
        <v>39</v>
      </c>
      <c r="K6" s="195">
        <f>+I6+J6</f>
        <v>265</v>
      </c>
    </row>
    <row r="7" spans="1:11" s="131" customFormat="1" x14ac:dyDescent="0.55000000000000004">
      <c r="A7" s="208"/>
      <c r="B7" s="211" t="s">
        <v>98</v>
      </c>
      <c r="C7" s="199">
        <f t="shared" si="0"/>
        <v>25634500</v>
      </c>
      <c r="D7" s="200">
        <f t="shared" si="0"/>
        <v>0</v>
      </c>
      <c r="E7" s="214">
        <f>+Sheet2!G20</f>
        <v>7918900</v>
      </c>
      <c r="F7" s="200">
        <v>0</v>
      </c>
      <c r="G7" s="199">
        <f>+Sheet2!O20</f>
        <v>17715600</v>
      </c>
      <c r="H7" s="220">
        <v>0</v>
      </c>
      <c r="I7" s="195">
        <f>+F7+F12+F17+F22+F27+F32+F37+F42+F47+F52+F57+F62+F67+F72+F77+F82+F87+F92+F97+F102+F107+F112+F117+F122+F127+F132+F137+F142+F147+F152+F157+F162+F167+F172+F177</f>
        <v>36</v>
      </c>
      <c r="J7" s="195">
        <f>+H7+H12+H17+H22+H27+H32+H37+H42+H47+H52+H57+H62+H67+H72+H77+H82+H87+H92+H97+H102+H107+H112+H117+H122+H127+H132+H137+H142+H147+H152+H157+H162+H167+H172+H177</f>
        <v>15</v>
      </c>
      <c r="K7" s="195">
        <f>+I7+J7</f>
        <v>51</v>
      </c>
    </row>
    <row r="8" spans="1:11" s="222" customFormat="1" x14ac:dyDescent="0.55000000000000004">
      <c r="A8" s="223"/>
      <c r="B8" s="216" t="s">
        <v>18</v>
      </c>
      <c r="C8" s="217">
        <f t="shared" si="0"/>
        <v>0</v>
      </c>
      <c r="D8" s="218">
        <f t="shared" si="0"/>
        <v>5</v>
      </c>
      <c r="E8" s="219">
        <f>+Sheet2!I20</f>
        <v>0</v>
      </c>
      <c r="F8" s="218">
        <v>5</v>
      </c>
      <c r="G8" s="217">
        <f>+Sheet2!Q20</f>
        <v>0</v>
      </c>
      <c r="H8" s="220">
        <v>0</v>
      </c>
      <c r="I8" s="221">
        <f>+F8+F13+F18+F23+F28+F33+F38+F43+F48+F53+F58+F63+F68+F73+F78+F83+F88+F93+F98+F103+F108+F113+F118+F123+F128+F133+F138+F143+F148+F153+F158+F163+F168+F173+F178</f>
        <v>120</v>
      </c>
      <c r="J8" s="221">
        <f>+H8+H13+H18+H23+H28+H33+H38+H43+H48+H53+H58+H63+H68+H73+H78+H83+H88+H93+H98+H103+H108+H113+H118+H123+H128+H133+H138+H143+H148+H153+H158+H163+H168+H173+H178</f>
        <v>6</v>
      </c>
      <c r="K8" s="221">
        <f>+I8+J8</f>
        <v>126</v>
      </c>
    </row>
    <row r="9" spans="1:11" s="157" customFormat="1" x14ac:dyDescent="0.55000000000000004">
      <c r="A9" s="209"/>
      <c r="B9" s="225" t="s">
        <v>96</v>
      </c>
      <c r="C9" s="226">
        <f>+C8*100/C5</f>
        <v>0</v>
      </c>
      <c r="D9" s="227"/>
      <c r="E9" s="228"/>
      <c r="F9" s="227"/>
      <c r="G9" s="226"/>
      <c r="H9" s="227"/>
      <c r="I9" s="157" t="s">
        <v>37</v>
      </c>
      <c r="J9" s="157" t="s">
        <v>144</v>
      </c>
    </row>
    <row r="10" spans="1:11" s="131" customFormat="1" x14ac:dyDescent="0.55000000000000004">
      <c r="A10" s="207" t="s">
        <v>12</v>
      </c>
      <c r="B10" s="197" t="s">
        <v>50</v>
      </c>
      <c r="C10" s="198">
        <f t="shared" ref="C10:D13" si="1">+E10+G10</f>
        <v>0</v>
      </c>
      <c r="D10" s="201">
        <f t="shared" si="1"/>
        <v>13</v>
      </c>
      <c r="E10" s="213">
        <f>+E11+E12</f>
        <v>0</v>
      </c>
      <c r="F10" s="201">
        <f>+F11+F12</f>
        <v>7</v>
      </c>
      <c r="G10" s="198">
        <f>+G11+G12</f>
        <v>0</v>
      </c>
      <c r="H10" s="201">
        <f>+H11+H12</f>
        <v>6</v>
      </c>
    </row>
    <row r="11" spans="1:11" s="131" customFormat="1" x14ac:dyDescent="0.55000000000000004">
      <c r="A11" s="208"/>
      <c r="B11" s="211" t="s">
        <v>142</v>
      </c>
      <c r="C11" s="199">
        <f t="shared" si="1"/>
        <v>0</v>
      </c>
      <c r="D11" s="139">
        <f t="shared" si="1"/>
        <v>13</v>
      </c>
      <c r="E11" s="214">
        <f>+Sheet2!E21</f>
        <v>0</v>
      </c>
      <c r="F11" s="139">
        <v>7</v>
      </c>
      <c r="G11" s="199">
        <f>+Sheet2!M21</f>
        <v>0</v>
      </c>
      <c r="H11" s="139">
        <v>6</v>
      </c>
    </row>
    <row r="12" spans="1:11" x14ac:dyDescent="0.55000000000000004">
      <c r="A12" s="208"/>
      <c r="B12" s="211" t="s">
        <v>98</v>
      </c>
      <c r="C12" s="199">
        <f t="shared" si="1"/>
        <v>0</v>
      </c>
      <c r="D12" s="200">
        <f t="shared" si="1"/>
        <v>0</v>
      </c>
      <c r="E12" s="214">
        <f>+Sheet2!G21</f>
        <v>0</v>
      </c>
      <c r="F12" s="200">
        <v>0</v>
      </c>
      <c r="G12" s="199">
        <f>+Sheet2!O21</f>
        <v>0</v>
      </c>
      <c r="H12" s="220">
        <v>0</v>
      </c>
    </row>
    <row r="13" spans="1:11" s="95" customFormat="1" x14ac:dyDescent="0.55000000000000004">
      <c r="A13" s="223"/>
      <c r="B13" s="216" t="s">
        <v>18</v>
      </c>
      <c r="C13" s="217">
        <f t="shared" si="1"/>
        <v>0</v>
      </c>
      <c r="D13" s="218">
        <f t="shared" si="1"/>
        <v>4</v>
      </c>
      <c r="E13" s="219">
        <f>+Sheet2!I21</f>
        <v>0</v>
      </c>
      <c r="F13" s="218">
        <v>3</v>
      </c>
      <c r="G13" s="217">
        <f>+Sheet2!Q21</f>
        <v>0</v>
      </c>
      <c r="H13" s="218">
        <v>1</v>
      </c>
    </row>
    <row r="14" spans="1:11" x14ac:dyDescent="0.55000000000000004">
      <c r="A14" s="209"/>
      <c r="B14" s="225" t="s">
        <v>96</v>
      </c>
      <c r="C14" s="226" t="e">
        <f>+C13*100/C10</f>
        <v>#DIV/0!</v>
      </c>
      <c r="D14" s="203"/>
      <c r="E14" s="215"/>
      <c r="F14" s="203"/>
      <c r="G14" s="202"/>
      <c r="H14" s="203"/>
    </row>
    <row r="15" spans="1:11" s="131" customFormat="1" x14ac:dyDescent="0.55000000000000004">
      <c r="A15" s="207" t="s">
        <v>13</v>
      </c>
      <c r="B15" s="197" t="s">
        <v>50</v>
      </c>
      <c r="C15" s="198">
        <f t="shared" ref="C15:D18" si="2">+E15+G15</f>
        <v>13343400</v>
      </c>
      <c r="D15" s="201">
        <f t="shared" si="2"/>
        <v>8</v>
      </c>
      <c r="E15" s="213">
        <f>+E16+E17</f>
        <v>2834400</v>
      </c>
      <c r="F15" s="201">
        <f>+F16+F17</f>
        <v>7</v>
      </c>
      <c r="G15" s="198">
        <f>+G16+G17</f>
        <v>10509000</v>
      </c>
      <c r="H15" s="201">
        <f>+H16+H17</f>
        <v>1</v>
      </c>
      <c r="I15" s="195"/>
    </row>
    <row r="16" spans="1:11" s="131" customFormat="1" x14ac:dyDescent="0.55000000000000004">
      <c r="A16" s="208"/>
      <c r="B16" s="211" t="s">
        <v>142</v>
      </c>
      <c r="C16" s="199">
        <f t="shared" si="2"/>
        <v>0</v>
      </c>
      <c r="D16" s="139">
        <f t="shared" si="2"/>
        <v>8</v>
      </c>
      <c r="E16" s="214">
        <f>+Sheet2!E22</f>
        <v>0</v>
      </c>
      <c r="F16" s="139">
        <v>7</v>
      </c>
      <c r="G16" s="199">
        <f>+Sheet2!M22</f>
        <v>0</v>
      </c>
      <c r="H16" s="139">
        <v>1</v>
      </c>
    </row>
    <row r="17" spans="1:8" x14ac:dyDescent="0.55000000000000004">
      <c r="A17" s="208"/>
      <c r="B17" s="211" t="s">
        <v>98</v>
      </c>
      <c r="C17" s="199">
        <f t="shared" si="2"/>
        <v>13343400</v>
      </c>
      <c r="D17" s="200">
        <f t="shared" si="2"/>
        <v>0</v>
      </c>
      <c r="E17" s="214">
        <f>+Sheet2!G22</f>
        <v>2834400</v>
      </c>
      <c r="F17" s="200">
        <v>0</v>
      </c>
      <c r="G17" s="199">
        <f>+Sheet2!O22</f>
        <v>10509000</v>
      </c>
      <c r="H17" s="200">
        <v>0</v>
      </c>
    </row>
    <row r="18" spans="1:8" s="95" customFormat="1" x14ac:dyDescent="0.55000000000000004">
      <c r="A18" s="223"/>
      <c r="B18" s="216" t="s">
        <v>18</v>
      </c>
      <c r="C18" s="217">
        <f t="shared" si="2"/>
        <v>0</v>
      </c>
      <c r="D18" s="218">
        <f t="shared" si="2"/>
        <v>5</v>
      </c>
      <c r="E18" s="219">
        <f>+Sheet2!I22</f>
        <v>0</v>
      </c>
      <c r="F18" s="218">
        <v>4</v>
      </c>
      <c r="G18" s="217">
        <f>+Sheet2!Q22</f>
        <v>0</v>
      </c>
      <c r="H18" s="218">
        <v>1</v>
      </c>
    </row>
    <row r="19" spans="1:8" x14ac:dyDescent="0.55000000000000004">
      <c r="A19" s="209"/>
      <c r="B19" s="225" t="s">
        <v>96</v>
      </c>
      <c r="C19" s="226">
        <f>+C18*100/C15</f>
        <v>0</v>
      </c>
      <c r="D19" s="203"/>
      <c r="E19" s="215"/>
      <c r="F19" s="203"/>
      <c r="G19" s="202"/>
      <c r="H19" s="203"/>
    </row>
    <row r="20" spans="1:8" s="131" customFormat="1" x14ac:dyDescent="0.55000000000000004">
      <c r="A20" s="207" t="s">
        <v>15</v>
      </c>
      <c r="B20" s="197" t="s">
        <v>50</v>
      </c>
      <c r="C20" s="198">
        <f t="shared" ref="C20:D23" si="3">+E20+G20</f>
        <v>14509300</v>
      </c>
      <c r="D20" s="201">
        <f t="shared" si="3"/>
        <v>10</v>
      </c>
      <c r="E20" s="213">
        <f>+E21+E22</f>
        <v>391200</v>
      </c>
      <c r="F20" s="204">
        <f>+F21+F22</f>
        <v>7</v>
      </c>
      <c r="G20" s="198">
        <f>+G21+G22</f>
        <v>14118100</v>
      </c>
      <c r="H20" s="204">
        <f>+H21+H22</f>
        <v>3</v>
      </c>
    </row>
    <row r="21" spans="1:8" s="131" customFormat="1" x14ac:dyDescent="0.55000000000000004">
      <c r="A21" s="208"/>
      <c r="B21" s="211" t="s">
        <v>142</v>
      </c>
      <c r="C21" s="199">
        <f t="shared" si="3"/>
        <v>0</v>
      </c>
      <c r="D21" s="139">
        <f t="shared" si="3"/>
        <v>10</v>
      </c>
      <c r="E21" s="214">
        <f>+Sheet2!E23</f>
        <v>0</v>
      </c>
      <c r="F21" s="139">
        <v>7</v>
      </c>
      <c r="G21" s="199">
        <f>+Sheet2!M23</f>
        <v>0</v>
      </c>
      <c r="H21" s="139">
        <v>3</v>
      </c>
    </row>
    <row r="22" spans="1:8" x14ac:dyDescent="0.55000000000000004">
      <c r="A22" s="208"/>
      <c r="B22" s="211" t="s">
        <v>98</v>
      </c>
      <c r="C22" s="199">
        <f t="shared" si="3"/>
        <v>14509300</v>
      </c>
      <c r="D22" s="200">
        <f t="shared" si="3"/>
        <v>0</v>
      </c>
      <c r="E22" s="214">
        <f>+Sheet2!G23</f>
        <v>391200</v>
      </c>
      <c r="F22" s="200">
        <v>0</v>
      </c>
      <c r="G22" s="199">
        <f>+Sheet2!O23</f>
        <v>14118100</v>
      </c>
      <c r="H22" s="200">
        <v>0</v>
      </c>
    </row>
    <row r="23" spans="1:8" s="95" customFormat="1" x14ac:dyDescent="0.55000000000000004">
      <c r="A23" s="223"/>
      <c r="B23" s="216" t="s">
        <v>18</v>
      </c>
      <c r="C23" s="217">
        <f t="shared" si="3"/>
        <v>0</v>
      </c>
      <c r="D23" s="218">
        <f t="shared" si="3"/>
        <v>6</v>
      </c>
      <c r="E23" s="219">
        <f>+Sheet2!I23</f>
        <v>0</v>
      </c>
      <c r="F23" s="218">
        <v>5</v>
      </c>
      <c r="G23" s="217">
        <f>+Sheet2!Q23</f>
        <v>0</v>
      </c>
      <c r="H23" s="218">
        <v>1</v>
      </c>
    </row>
    <row r="24" spans="1:8" x14ac:dyDescent="0.55000000000000004">
      <c r="A24" s="209"/>
      <c r="B24" s="225" t="s">
        <v>96</v>
      </c>
      <c r="C24" s="226">
        <f>+C23*100/C20</f>
        <v>0</v>
      </c>
      <c r="D24" s="203"/>
      <c r="E24" s="215"/>
      <c r="F24" s="203"/>
      <c r="G24" s="202"/>
      <c r="H24" s="203"/>
    </row>
    <row r="25" spans="1:8" s="131" customFormat="1" x14ac:dyDescent="0.55000000000000004">
      <c r="A25" s="207" t="s">
        <v>9</v>
      </c>
      <c r="B25" s="197" t="s">
        <v>50</v>
      </c>
      <c r="C25" s="198" t="e">
        <f t="shared" ref="C25:D28" si="4">+E25+G25</f>
        <v>#REF!</v>
      </c>
      <c r="D25" s="201">
        <f t="shared" si="4"/>
        <v>10</v>
      </c>
      <c r="E25" s="213" t="e">
        <f>+E26+E27</f>
        <v>#REF!</v>
      </c>
      <c r="F25" s="201">
        <f>+F26+F27</f>
        <v>8</v>
      </c>
      <c r="G25" s="198" t="e">
        <f>+G26+G27</f>
        <v>#VALUE!</v>
      </c>
      <c r="H25" s="201">
        <f>+H26+H27</f>
        <v>2</v>
      </c>
    </row>
    <row r="26" spans="1:8" s="131" customFormat="1" x14ac:dyDescent="0.55000000000000004">
      <c r="A26" s="208"/>
      <c r="B26" s="211" t="s">
        <v>142</v>
      </c>
      <c r="C26" s="199" t="e">
        <f t="shared" si="4"/>
        <v>#REF!</v>
      </c>
      <c r="D26" s="139">
        <f t="shared" si="4"/>
        <v>10</v>
      </c>
      <c r="E26" s="214" t="e">
        <f>+Sheet2!E24</f>
        <v>#REF!</v>
      </c>
      <c r="F26" s="139">
        <v>8</v>
      </c>
      <c r="G26" s="199" t="str">
        <f>+Sheet2!M24</f>
        <v>29 พ.ค.57 แต่งตั้งคณะกรรมการสอบราคา</v>
      </c>
      <c r="H26" s="139">
        <v>2</v>
      </c>
    </row>
    <row r="27" spans="1:8" x14ac:dyDescent="0.55000000000000004">
      <c r="A27" s="208"/>
      <c r="B27" s="211" t="s">
        <v>98</v>
      </c>
      <c r="C27" s="199" t="e">
        <f t="shared" si="4"/>
        <v>#REF!</v>
      </c>
      <c r="D27" s="200">
        <f t="shared" si="4"/>
        <v>0</v>
      </c>
      <c r="E27" s="214" t="e">
        <f>+Sheet2!G24</f>
        <v>#REF!</v>
      </c>
      <c r="F27" s="220">
        <v>0</v>
      </c>
      <c r="G27" s="199" t="e">
        <f>+Sheet2!O24</f>
        <v>#VALUE!</v>
      </c>
      <c r="H27" s="200">
        <v>0</v>
      </c>
    </row>
    <row r="28" spans="1:8" s="95" customFormat="1" x14ac:dyDescent="0.55000000000000004">
      <c r="A28" s="223"/>
      <c r="B28" s="216" t="s">
        <v>18</v>
      </c>
      <c r="C28" s="217" t="e">
        <f t="shared" si="4"/>
        <v>#REF!</v>
      </c>
      <c r="D28" s="218">
        <f t="shared" si="4"/>
        <v>5</v>
      </c>
      <c r="E28" s="219" t="e">
        <f>+Sheet2!I24</f>
        <v>#REF!</v>
      </c>
      <c r="F28" s="218">
        <v>5</v>
      </c>
      <c r="G28" s="217">
        <f>+Sheet2!Q24</f>
        <v>0</v>
      </c>
      <c r="H28" s="220">
        <v>0</v>
      </c>
    </row>
    <row r="29" spans="1:8" x14ac:dyDescent="0.55000000000000004">
      <c r="A29" s="209"/>
      <c r="B29" s="225" t="s">
        <v>96</v>
      </c>
      <c r="C29" s="226" t="e">
        <f>+C28*100/C25</f>
        <v>#REF!</v>
      </c>
      <c r="D29" s="203"/>
      <c r="E29" s="215"/>
      <c r="F29" s="203"/>
      <c r="G29" s="202"/>
      <c r="H29" s="203"/>
    </row>
    <row r="30" spans="1:8" s="131" customFormat="1" x14ac:dyDescent="0.55000000000000004">
      <c r="A30" s="207" t="s">
        <v>6</v>
      </c>
      <c r="B30" s="197" t="s">
        <v>50</v>
      </c>
      <c r="C30" s="198">
        <f t="shared" ref="C30:D33" si="5">+E30+G30</f>
        <v>158183300</v>
      </c>
      <c r="D30" s="201">
        <f t="shared" si="5"/>
        <v>11</v>
      </c>
      <c r="E30" s="213">
        <f>+E31+E32</f>
        <v>28735100</v>
      </c>
      <c r="F30" s="201">
        <f>+F31+F32</f>
        <v>8</v>
      </c>
      <c r="G30" s="198">
        <f>+G31+G32</f>
        <v>129448200</v>
      </c>
      <c r="H30" s="204">
        <f>+H31+H32</f>
        <v>3</v>
      </c>
    </row>
    <row r="31" spans="1:8" s="131" customFormat="1" x14ac:dyDescent="0.55000000000000004">
      <c r="A31" s="208"/>
      <c r="B31" s="211" t="s">
        <v>142</v>
      </c>
      <c r="C31" s="199">
        <f t="shared" si="5"/>
        <v>0</v>
      </c>
      <c r="D31" s="139">
        <f t="shared" si="5"/>
        <v>10</v>
      </c>
      <c r="E31" s="214">
        <f>+Sheet2!E25</f>
        <v>0</v>
      </c>
      <c r="F31" s="139">
        <v>8</v>
      </c>
      <c r="G31" s="199">
        <f>+Sheet2!M25</f>
        <v>0</v>
      </c>
      <c r="H31" s="139">
        <v>2</v>
      </c>
    </row>
    <row r="32" spans="1:8" x14ac:dyDescent="0.55000000000000004">
      <c r="A32" s="208"/>
      <c r="B32" s="211" t="s">
        <v>98</v>
      </c>
      <c r="C32" s="199">
        <f t="shared" si="5"/>
        <v>158183300</v>
      </c>
      <c r="D32" s="139">
        <f t="shared" si="5"/>
        <v>1</v>
      </c>
      <c r="E32" s="214">
        <f>+Sheet2!G25</f>
        <v>28735100</v>
      </c>
      <c r="F32" s="220">
        <v>0</v>
      </c>
      <c r="G32" s="199">
        <f>+Sheet2!O25</f>
        <v>129448200</v>
      </c>
      <c r="H32" s="139">
        <v>1</v>
      </c>
    </row>
    <row r="33" spans="1:8" s="95" customFormat="1" x14ac:dyDescent="0.55000000000000004">
      <c r="A33" s="223"/>
      <c r="B33" s="216" t="s">
        <v>18</v>
      </c>
      <c r="C33" s="217">
        <f t="shared" si="5"/>
        <v>0</v>
      </c>
      <c r="D33" s="218">
        <f t="shared" si="5"/>
        <v>3</v>
      </c>
      <c r="E33" s="219">
        <f>+Sheet2!I25</f>
        <v>0</v>
      </c>
      <c r="F33" s="218">
        <v>3</v>
      </c>
      <c r="G33" s="217">
        <f>+Sheet2!Q25</f>
        <v>0</v>
      </c>
      <c r="H33" s="220">
        <v>0</v>
      </c>
    </row>
    <row r="34" spans="1:8" x14ac:dyDescent="0.55000000000000004">
      <c r="A34" s="209"/>
      <c r="B34" s="225" t="s">
        <v>96</v>
      </c>
      <c r="C34" s="226">
        <f>+C33*100/C30</f>
        <v>0</v>
      </c>
      <c r="D34" s="203"/>
      <c r="E34" s="215"/>
      <c r="F34" s="203"/>
      <c r="G34" s="202"/>
      <c r="H34" s="203"/>
    </row>
    <row r="35" spans="1:8" s="131" customFormat="1" x14ac:dyDescent="0.55000000000000004">
      <c r="A35" s="207" t="s">
        <v>27</v>
      </c>
      <c r="B35" s="197" t="s">
        <v>50</v>
      </c>
      <c r="C35" s="198">
        <f t="shared" ref="C35:D38" si="6">+E35+G35</f>
        <v>118984800</v>
      </c>
      <c r="D35" s="201">
        <f t="shared" si="6"/>
        <v>20</v>
      </c>
      <c r="E35" s="213">
        <f>+E36+E37</f>
        <v>13604100</v>
      </c>
      <c r="F35" s="201">
        <f>+F36+F37</f>
        <v>18</v>
      </c>
      <c r="G35" s="198">
        <f>+G36+G37</f>
        <v>105380700</v>
      </c>
      <c r="H35" s="204">
        <f>+H36+H37</f>
        <v>2</v>
      </c>
    </row>
    <row r="36" spans="1:8" s="131" customFormat="1" x14ac:dyDescent="0.55000000000000004">
      <c r="A36" s="208"/>
      <c r="B36" s="211" t="s">
        <v>142</v>
      </c>
      <c r="C36" s="199">
        <f t="shared" si="6"/>
        <v>0</v>
      </c>
      <c r="D36" s="139">
        <f t="shared" si="6"/>
        <v>19</v>
      </c>
      <c r="E36" s="214">
        <f>+Sheet2!E26</f>
        <v>0</v>
      </c>
      <c r="F36" s="139">
        <v>17</v>
      </c>
      <c r="G36" s="199">
        <f>+Sheet2!M26</f>
        <v>0</v>
      </c>
      <c r="H36" s="139">
        <v>2</v>
      </c>
    </row>
    <row r="37" spans="1:8" x14ac:dyDescent="0.55000000000000004">
      <c r="A37" s="208"/>
      <c r="B37" s="211" t="s">
        <v>98</v>
      </c>
      <c r="C37" s="199">
        <f t="shared" si="6"/>
        <v>118984800</v>
      </c>
      <c r="D37" s="139">
        <f t="shared" si="6"/>
        <v>1</v>
      </c>
      <c r="E37" s="214">
        <f>+Sheet2!G26</f>
        <v>13604100</v>
      </c>
      <c r="F37" s="139">
        <v>1</v>
      </c>
      <c r="G37" s="199">
        <f>+Sheet2!O26</f>
        <v>105380700</v>
      </c>
      <c r="H37" s="200">
        <v>0</v>
      </c>
    </row>
    <row r="38" spans="1:8" s="95" customFormat="1" x14ac:dyDescent="0.55000000000000004">
      <c r="A38" s="223"/>
      <c r="B38" s="216" t="s">
        <v>18</v>
      </c>
      <c r="C38" s="217">
        <f t="shared" si="6"/>
        <v>0</v>
      </c>
      <c r="D38" s="224">
        <f t="shared" si="6"/>
        <v>11</v>
      </c>
      <c r="E38" s="219">
        <f>+Sheet2!I26</f>
        <v>0</v>
      </c>
      <c r="F38" s="218">
        <v>11</v>
      </c>
      <c r="G38" s="217">
        <f>+Sheet2!Q26</f>
        <v>0</v>
      </c>
      <c r="H38" s="220">
        <v>0</v>
      </c>
    </row>
    <row r="39" spans="1:8" x14ac:dyDescent="0.55000000000000004">
      <c r="A39" s="210"/>
      <c r="B39" s="225" t="s">
        <v>96</v>
      </c>
      <c r="C39" s="226">
        <f>+C38*100/C35</f>
        <v>0</v>
      </c>
      <c r="D39" s="203"/>
      <c r="E39" s="215"/>
      <c r="F39" s="203"/>
      <c r="G39" s="202"/>
      <c r="H39" s="203"/>
    </row>
    <row r="40" spans="1:8" s="131" customFormat="1" x14ac:dyDescent="0.55000000000000004">
      <c r="A40" s="207" t="s">
        <v>23</v>
      </c>
      <c r="B40" s="197" t="s">
        <v>50</v>
      </c>
      <c r="C40" s="198">
        <f t="shared" ref="C40:D43" si="7">+E40+G40</f>
        <v>400000</v>
      </c>
      <c r="D40" s="201">
        <f t="shared" si="7"/>
        <v>12</v>
      </c>
      <c r="E40" s="213">
        <f>+E41+E42</f>
        <v>0</v>
      </c>
      <c r="F40" s="201">
        <f>+F41+F42</f>
        <v>11</v>
      </c>
      <c r="G40" s="198">
        <f>+G41+G42</f>
        <v>400000</v>
      </c>
      <c r="H40" s="204">
        <f>+H41+H42</f>
        <v>1</v>
      </c>
    </row>
    <row r="41" spans="1:8" s="131" customFormat="1" x14ac:dyDescent="0.55000000000000004">
      <c r="A41" s="208"/>
      <c r="B41" s="211" t="s">
        <v>142</v>
      </c>
      <c r="C41" s="199">
        <f t="shared" si="7"/>
        <v>0</v>
      </c>
      <c r="D41" s="139">
        <f t="shared" si="7"/>
        <v>10</v>
      </c>
      <c r="E41" s="214">
        <f>+Sheet2!E27</f>
        <v>0</v>
      </c>
      <c r="F41" s="139">
        <v>10</v>
      </c>
      <c r="G41" s="199">
        <f>+Sheet2!M27</f>
        <v>0</v>
      </c>
      <c r="H41" s="200">
        <v>0</v>
      </c>
    </row>
    <row r="42" spans="1:8" x14ac:dyDescent="0.55000000000000004">
      <c r="A42" s="208"/>
      <c r="B42" s="211" t="s">
        <v>98</v>
      </c>
      <c r="C42" s="199">
        <f t="shared" si="7"/>
        <v>400000</v>
      </c>
      <c r="D42" s="139">
        <f t="shared" si="7"/>
        <v>2</v>
      </c>
      <c r="E42" s="214">
        <f>+Sheet2!G27</f>
        <v>0</v>
      </c>
      <c r="F42" s="139">
        <v>1</v>
      </c>
      <c r="G42" s="199">
        <f>+Sheet2!O27</f>
        <v>400000</v>
      </c>
      <c r="H42" s="139">
        <v>1</v>
      </c>
    </row>
    <row r="43" spans="1:8" s="95" customFormat="1" x14ac:dyDescent="0.55000000000000004">
      <c r="A43" s="223"/>
      <c r="B43" s="216" t="s">
        <v>18</v>
      </c>
      <c r="C43" s="217">
        <f t="shared" si="7"/>
        <v>0</v>
      </c>
      <c r="D43" s="218">
        <f t="shared" si="7"/>
        <v>8</v>
      </c>
      <c r="E43" s="219">
        <f>+Sheet2!I27</f>
        <v>0</v>
      </c>
      <c r="F43" s="218">
        <v>8</v>
      </c>
      <c r="G43" s="217">
        <f>+Sheet2!Q27</f>
        <v>0</v>
      </c>
      <c r="H43" s="220">
        <v>0</v>
      </c>
    </row>
    <row r="44" spans="1:8" x14ac:dyDescent="0.55000000000000004">
      <c r="A44" s="210"/>
      <c r="B44" s="225" t="s">
        <v>96</v>
      </c>
      <c r="C44" s="226">
        <f>+C43*100/C40</f>
        <v>0</v>
      </c>
      <c r="D44" s="203"/>
      <c r="E44" s="215"/>
      <c r="F44" s="203"/>
      <c r="G44" s="202"/>
      <c r="H44" s="203"/>
    </row>
    <row r="45" spans="1:8" s="131" customFormat="1" x14ac:dyDescent="0.55000000000000004">
      <c r="A45" s="207" t="s">
        <v>24</v>
      </c>
      <c r="B45" s="197" t="s">
        <v>50</v>
      </c>
      <c r="C45" s="198" t="e">
        <f t="shared" ref="C45:D48" si="8">+E45+G45</f>
        <v>#REF!</v>
      </c>
      <c r="D45" s="201">
        <f t="shared" si="8"/>
        <v>11</v>
      </c>
      <c r="E45" s="213" t="e">
        <f>+E46+E47</f>
        <v>#REF!</v>
      </c>
      <c r="F45" s="201">
        <f>+F46+F47</f>
        <v>8</v>
      </c>
      <c r="G45" s="198">
        <f>+G46+G47</f>
        <v>58371700</v>
      </c>
      <c r="H45" s="201">
        <f>+H46+H47</f>
        <v>3</v>
      </c>
    </row>
    <row r="46" spans="1:8" s="131" customFormat="1" x14ac:dyDescent="0.55000000000000004">
      <c r="A46" s="208"/>
      <c r="B46" s="211" t="s">
        <v>142</v>
      </c>
      <c r="C46" s="199" t="e">
        <f t="shared" si="8"/>
        <v>#REF!</v>
      </c>
      <c r="D46" s="139">
        <f t="shared" si="8"/>
        <v>5</v>
      </c>
      <c r="E46" s="214" t="e">
        <f>+Sheet2!E28</f>
        <v>#REF!</v>
      </c>
      <c r="F46" s="139">
        <v>5</v>
      </c>
      <c r="G46" s="199">
        <f>+Sheet2!M28</f>
        <v>0</v>
      </c>
      <c r="H46" s="200">
        <v>0</v>
      </c>
    </row>
    <row r="47" spans="1:8" x14ac:dyDescent="0.55000000000000004">
      <c r="A47" s="208"/>
      <c r="B47" s="211" t="s">
        <v>98</v>
      </c>
      <c r="C47" s="199" t="e">
        <f t="shared" si="8"/>
        <v>#REF!</v>
      </c>
      <c r="D47" s="139">
        <f t="shared" si="8"/>
        <v>6</v>
      </c>
      <c r="E47" s="214" t="e">
        <f>+Sheet2!G28</f>
        <v>#REF!</v>
      </c>
      <c r="F47" s="139">
        <v>3</v>
      </c>
      <c r="G47" s="199">
        <f>+Sheet2!O28</f>
        <v>58371700</v>
      </c>
      <c r="H47" s="139">
        <v>3</v>
      </c>
    </row>
    <row r="48" spans="1:8" s="95" customFormat="1" x14ac:dyDescent="0.55000000000000004">
      <c r="A48" s="223"/>
      <c r="B48" s="216" t="s">
        <v>18</v>
      </c>
      <c r="C48" s="217" t="e">
        <f t="shared" si="8"/>
        <v>#REF!</v>
      </c>
      <c r="D48" s="218">
        <f t="shared" si="8"/>
        <v>5</v>
      </c>
      <c r="E48" s="219" t="e">
        <f>+Sheet2!I28</f>
        <v>#REF!</v>
      </c>
      <c r="F48" s="218">
        <v>5</v>
      </c>
      <c r="G48" s="217">
        <f>+Sheet2!Q28</f>
        <v>0</v>
      </c>
      <c r="H48" s="220">
        <v>0</v>
      </c>
    </row>
    <row r="49" spans="1:8" x14ac:dyDescent="0.55000000000000004">
      <c r="A49" s="210"/>
      <c r="B49" s="225" t="s">
        <v>96</v>
      </c>
      <c r="C49" s="226" t="e">
        <f>+C48*100/C45</f>
        <v>#REF!</v>
      </c>
      <c r="D49" s="203"/>
      <c r="E49" s="215"/>
      <c r="F49" s="203"/>
      <c r="G49" s="202"/>
      <c r="H49" s="203"/>
    </row>
    <row r="50" spans="1:8" s="131" customFormat="1" x14ac:dyDescent="0.55000000000000004">
      <c r="A50" s="207" t="s">
        <v>1</v>
      </c>
      <c r="B50" s="197" t="s">
        <v>50</v>
      </c>
      <c r="C50" s="198">
        <f t="shared" ref="C50:D53" si="9">+E50+G50</f>
        <v>31864700</v>
      </c>
      <c r="D50" s="201">
        <f t="shared" si="9"/>
        <v>9</v>
      </c>
      <c r="E50" s="213">
        <f>+E51+E52</f>
        <v>6153600</v>
      </c>
      <c r="F50" s="201">
        <f>+F51+F52</f>
        <v>7</v>
      </c>
      <c r="G50" s="198">
        <f>+G51+G52</f>
        <v>25711100</v>
      </c>
      <c r="H50" s="201">
        <f>+H51+H52</f>
        <v>2</v>
      </c>
    </row>
    <row r="51" spans="1:8" s="131" customFormat="1" x14ac:dyDescent="0.55000000000000004">
      <c r="A51" s="208"/>
      <c r="B51" s="211" t="s">
        <v>142</v>
      </c>
      <c r="C51" s="199">
        <f t="shared" si="9"/>
        <v>0</v>
      </c>
      <c r="D51" s="139">
        <f t="shared" si="9"/>
        <v>9</v>
      </c>
      <c r="E51" s="214">
        <f>+Sheet2!E29</f>
        <v>0</v>
      </c>
      <c r="F51" s="139">
        <v>7</v>
      </c>
      <c r="G51" s="199">
        <f>+Sheet2!M29</f>
        <v>0</v>
      </c>
      <c r="H51" s="139">
        <v>2</v>
      </c>
    </row>
    <row r="52" spans="1:8" x14ac:dyDescent="0.55000000000000004">
      <c r="A52" s="208"/>
      <c r="B52" s="211" t="s">
        <v>98</v>
      </c>
      <c r="C52" s="199">
        <f t="shared" si="9"/>
        <v>31864700</v>
      </c>
      <c r="D52" s="200">
        <f t="shared" si="9"/>
        <v>0</v>
      </c>
      <c r="E52" s="214">
        <f>+Sheet2!G29</f>
        <v>6153600</v>
      </c>
      <c r="F52" s="200">
        <v>0</v>
      </c>
      <c r="G52" s="199">
        <f>+Sheet2!O29</f>
        <v>25711100</v>
      </c>
      <c r="H52" s="200">
        <v>0</v>
      </c>
    </row>
    <row r="53" spans="1:8" s="95" customFormat="1" x14ac:dyDescent="0.55000000000000004">
      <c r="A53" s="223"/>
      <c r="B53" s="216" t="s">
        <v>18</v>
      </c>
      <c r="C53" s="217">
        <f t="shared" si="9"/>
        <v>0</v>
      </c>
      <c r="D53" s="218">
        <f t="shared" si="9"/>
        <v>6</v>
      </c>
      <c r="E53" s="219">
        <f>+Sheet2!I29</f>
        <v>0</v>
      </c>
      <c r="F53" s="218">
        <v>6</v>
      </c>
      <c r="G53" s="217">
        <f>+Sheet2!Q29</f>
        <v>0</v>
      </c>
      <c r="H53" s="220">
        <v>0</v>
      </c>
    </row>
    <row r="54" spans="1:8" x14ac:dyDescent="0.55000000000000004">
      <c r="A54" s="210"/>
      <c r="B54" s="225" t="s">
        <v>96</v>
      </c>
      <c r="C54" s="226">
        <f>+C53*100/C50</f>
        <v>0</v>
      </c>
      <c r="D54" s="203"/>
      <c r="E54" s="215"/>
      <c r="F54" s="203"/>
      <c r="G54" s="202"/>
      <c r="H54" s="203"/>
    </row>
    <row r="55" spans="1:8" s="131" customFormat="1" x14ac:dyDescent="0.55000000000000004">
      <c r="A55" s="207" t="s">
        <v>7</v>
      </c>
      <c r="B55" s="197" t="s">
        <v>50</v>
      </c>
      <c r="C55" s="198">
        <f t="shared" ref="C55:D58" si="10">+E55+G55</f>
        <v>254531300</v>
      </c>
      <c r="D55" s="201">
        <f t="shared" si="10"/>
        <v>16</v>
      </c>
      <c r="E55" s="213">
        <f>+E56+E57</f>
        <v>51871700</v>
      </c>
      <c r="F55" s="201">
        <f>+F56+F57</f>
        <v>12</v>
      </c>
      <c r="G55" s="198">
        <f>+G56+G57</f>
        <v>202659600</v>
      </c>
      <c r="H55" s="201">
        <f>+H56+H57</f>
        <v>4</v>
      </c>
    </row>
    <row r="56" spans="1:8" s="131" customFormat="1" x14ac:dyDescent="0.55000000000000004">
      <c r="A56" s="208"/>
      <c r="B56" s="211" t="s">
        <v>142</v>
      </c>
      <c r="C56" s="199">
        <f t="shared" si="10"/>
        <v>0</v>
      </c>
      <c r="D56" s="139">
        <f t="shared" si="10"/>
        <v>16</v>
      </c>
      <c r="E56" s="214">
        <f>+Sheet2!E30</f>
        <v>0</v>
      </c>
      <c r="F56" s="139">
        <v>12</v>
      </c>
      <c r="G56" s="199">
        <f>+Sheet2!M30</f>
        <v>0</v>
      </c>
      <c r="H56" s="139">
        <v>4</v>
      </c>
    </row>
    <row r="57" spans="1:8" x14ac:dyDescent="0.55000000000000004">
      <c r="A57" s="208"/>
      <c r="B57" s="211" t="s">
        <v>98</v>
      </c>
      <c r="C57" s="199">
        <f t="shared" si="10"/>
        <v>254531300</v>
      </c>
      <c r="D57" s="200">
        <f t="shared" si="10"/>
        <v>0</v>
      </c>
      <c r="E57" s="214">
        <f>+Sheet2!G30</f>
        <v>51871700</v>
      </c>
      <c r="F57" s="200">
        <v>0</v>
      </c>
      <c r="G57" s="199">
        <f>+Sheet2!O30</f>
        <v>202659600</v>
      </c>
      <c r="H57" s="200">
        <v>0</v>
      </c>
    </row>
    <row r="58" spans="1:8" s="95" customFormat="1" x14ac:dyDescent="0.55000000000000004">
      <c r="A58" s="223"/>
      <c r="B58" s="216" t="s">
        <v>18</v>
      </c>
      <c r="C58" s="217">
        <f t="shared" si="10"/>
        <v>0</v>
      </c>
      <c r="D58" s="218">
        <f t="shared" si="10"/>
        <v>11</v>
      </c>
      <c r="E58" s="219">
        <f>+Sheet2!I30</f>
        <v>0</v>
      </c>
      <c r="F58" s="218">
        <v>11</v>
      </c>
      <c r="G58" s="217">
        <f>+Sheet2!Q30</f>
        <v>0</v>
      </c>
      <c r="H58" s="220">
        <v>0</v>
      </c>
    </row>
    <row r="59" spans="1:8" x14ac:dyDescent="0.55000000000000004">
      <c r="A59" s="210"/>
      <c r="B59" s="225" t="s">
        <v>96</v>
      </c>
      <c r="C59" s="226">
        <f>+C58*100/C55</f>
        <v>0</v>
      </c>
      <c r="D59" s="203"/>
      <c r="E59" s="215"/>
      <c r="F59" s="203"/>
      <c r="G59" s="202"/>
      <c r="H59" s="203"/>
    </row>
    <row r="60" spans="1:8" s="131" customFormat="1" x14ac:dyDescent="0.55000000000000004">
      <c r="A60" s="207" t="s">
        <v>16</v>
      </c>
      <c r="B60" s="197" t="s">
        <v>50</v>
      </c>
      <c r="C60" s="198">
        <f t="shared" ref="C60:D63" si="11">+E60+G60</f>
        <v>41662300</v>
      </c>
      <c r="D60" s="201">
        <f t="shared" si="11"/>
        <v>14</v>
      </c>
      <c r="E60" s="213">
        <f>+E61+E62</f>
        <v>32845300</v>
      </c>
      <c r="F60" s="201">
        <f>+F61+F62</f>
        <v>14</v>
      </c>
      <c r="G60" s="198">
        <f>+G61+G62</f>
        <v>8817000</v>
      </c>
      <c r="H60" s="205">
        <f>+H61+H62</f>
        <v>0</v>
      </c>
    </row>
    <row r="61" spans="1:8" s="131" customFormat="1" x14ac:dyDescent="0.55000000000000004">
      <c r="A61" s="208"/>
      <c r="B61" s="211" t="s">
        <v>142</v>
      </c>
      <c r="C61" s="199">
        <f t="shared" si="11"/>
        <v>0</v>
      </c>
      <c r="D61" s="139">
        <f t="shared" si="11"/>
        <v>14</v>
      </c>
      <c r="E61" s="214">
        <f>+Sheet2!E31</f>
        <v>0</v>
      </c>
      <c r="F61" s="139">
        <v>14</v>
      </c>
      <c r="G61" s="199">
        <f>+Sheet2!M31</f>
        <v>0</v>
      </c>
      <c r="H61" s="200">
        <v>0</v>
      </c>
    </row>
    <row r="62" spans="1:8" x14ac:dyDescent="0.55000000000000004">
      <c r="A62" s="208"/>
      <c r="B62" s="211" t="s">
        <v>98</v>
      </c>
      <c r="C62" s="199">
        <f t="shared" si="11"/>
        <v>41662300</v>
      </c>
      <c r="D62" s="200">
        <f t="shared" si="11"/>
        <v>0</v>
      </c>
      <c r="E62" s="214">
        <f>+Sheet2!G31</f>
        <v>32845300</v>
      </c>
      <c r="F62" s="200">
        <v>0</v>
      </c>
      <c r="G62" s="199">
        <f>+Sheet2!O31</f>
        <v>8817000</v>
      </c>
      <c r="H62" s="200">
        <v>0</v>
      </c>
    </row>
    <row r="63" spans="1:8" s="95" customFormat="1" x14ac:dyDescent="0.55000000000000004">
      <c r="A63" s="223"/>
      <c r="B63" s="216" t="s">
        <v>18</v>
      </c>
      <c r="C63" s="217">
        <f t="shared" si="11"/>
        <v>0</v>
      </c>
      <c r="D63" s="218">
        <f t="shared" si="11"/>
        <v>6</v>
      </c>
      <c r="E63" s="219">
        <f>+Sheet2!I31</f>
        <v>0</v>
      </c>
      <c r="F63" s="218">
        <v>6</v>
      </c>
      <c r="G63" s="217">
        <f>+Sheet2!Q31</f>
        <v>0</v>
      </c>
      <c r="H63" s="220">
        <v>0</v>
      </c>
    </row>
    <row r="64" spans="1:8" x14ac:dyDescent="0.55000000000000004">
      <c r="A64" s="210"/>
      <c r="B64" s="225" t="s">
        <v>96</v>
      </c>
      <c r="C64" s="226">
        <f>+C63*100/C60</f>
        <v>0</v>
      </c>
      <c r="D64" s="203"/>
      <c r="E64" s="215"/>
      <c r="F64" s="203"/>
      <c r="G64" s="202"/>
      <c r="H64" s="203"/>
    </row>
    <row r="65" spans="1:8" s="131" customFormat="1" x14ac:dyDescent="0.55000000000000004">
      <c r="A65" s="207" t="s">
        <v>104</v>
      </c>
      <c r="B65" s="197" t="s">
        <v>50</v>
      </c>
      <c r="C65" s="198">
        <f t="shared" ref="C65:D68" si="12">+E65+G65</f>
        <v>0</v>
      </c>
      <c r="D65" s="201">
        <f t="shared" si="12"/>
        <v>7</v>
      </c>
      <c r="E65" s="213">
        <f>+E66+E67</f>
        <v>0</v>
      </c>
      <c r="F65" s="201">
        <f>+F66+F67</f>
        <v>6</v>
      </c>
      <c r="G65" s="198">
        <f>+G66+G67</f>
        <v>0</v>
      </c>
      <c r="H65" s="201">
        <f>+H66+H67</f>
        <v>1</v>
      </c>
    </row>
    <row r="66" spans="1:8" s="131" customFormat="1" x14ac:dyDescent="0.55000000000000004">
      <c r="A66" s="208"/>
      <c r="B66" s="211" t="s">
        <v>142</v>
      </c>
      <c r="C66" s="199">
        <f t="shared" si="12"/>
        <v>0</v>
      </c>
      <c r="D66" s="139">
        <f t="shared" si="12"/>
        <v>7</v>
      </c>
      <c r="E66" s="214">
        <f>+Sheet2!E32</f>
        <v>0</v>
      </c>
      <c r="F66" s="139">
        <v>6</v>
      </c>
      <c r="G66" s="199">
        <f>+Sheet2!M32</f>
        <v>0</v>
      </c>
      <c r="H66" s="139">
        <v>1</v>
      </c>
    </row>
    <row r="67" spans="1:8" x14ac:dyDescent="0.55000000000000004">
      <c r="A67" s="208"/>
      <c r="B67" s="211" t="s">
        <v>98</v>
      </c>
      <c r="C67" s="199">
        <f t="shared" si="12"/>
        <v>0</v>
      </c>
      <c r="D67" s="200">
        <f t="shared" si="12"/>
        <v>0</v>
      </c>
      <c r="E67" s="214">
        <f>+Sheet2!G32</f>
        <v>0</v>
      </c>
      <c r="F67" s="200">
        <v>0</v>
      </c>
      <c r="G67" s="199">
        <f>+Sheet2!O32</f>
        <v>0</v>
      </c>
      <c r="H67" s="200">
        <v>0</v>
      </c>
    </row>
    <row r="68" spans="1:8" s="95" customFormat="1" x14ac:dyDescent="0.55000000000000004">
      <c r="A68" s="223"/>
      <c r="B68" s="216" t="s">
        <v>18</v>
      </c>
      <c r="C68" s="217">
        <f t="shared" si="12"/>
        <v>0</v>
      </c>
      <c r="D68" s="218">
        <f t="shared" si="12"/>
        <v>1</v>
      </c>
      <c r="E68" s="219">
        <f>+Sheet2!I32</f>
        <v>0</v>
      </c>
      <c r="F68" s="218">
        <v>1</v>
      </c>
      <c r="G68" s="217">
        <f>+Sheet2!Q32</f>
        <v>0</v>
      </c>
      <c r="H68" s="220">
        <v>0</v>
      </c>
    </row>
    <row r="69" spans="1:8" x14ac:dyDescent="0.55000000000000004">
      <c r="A69" s="210"/>
      <c r="B69" s="225" t="s">
        <v>96</v>
      </c>
      <c r="C69" s="226" t="e">
        <f>+C68*100/C65</f>
        <v>#DIV/0!</v>
      </c>
      <c r="D69" s="203"/>
      <c r="E69" s="215"/>
      <c r="F69" s="203"/>
      <c r="G69" s="202"/>
      <c r="H69" s="203"/>
    </row>
    <row r="70" spans="1:8" s="131" customFormat="1" x14ac:dyDescent="0.55000000000000004">
      <c r="A70" s="207" t="s">
        <v>105</v>
      </c>
      <c r="B70" s="197" t="s">
        <v>50</v>
      </c>
      <c r="C70" s="198">
        <f t="shared" ref="C70:D73" si="13">+E70+G70</f>
        <v>690950900</v>
      </c>
      <c r="D70" s="201">
        <f t="shared" si="13"/>
        <v>42</v>
      </c>
      <c r="E70" s="213">
        <f>+E71+E72</f>
        <v>690950900</v>
      </c>
      <c r="F70" s="201">
        <f>+F71+F72</f>
        <v>42</v>
      </c>
      <c r="G70" s="198">
        <f>+G71+G72</f>
        <v>0</v>
      </c>
      <c r="H70" s="205">
        <f>+H71+H72</f>
        <v>0</v>
      </c>
    </row>
    <row r="71" spans="1:8" s="131" customFormat="1" x14ac:dyDescent="0.55000000000000004">
      <c r="A71" s="208"/>
      <c r="B71" s="211" t="s">
        <v>142</v>
      </c>
      <c r="C71" s="199">
        <f t="shared" si="13"/>
        <v>0</v>
      </c>
      <c r="D71" s="139">
        <f t="shared" si="13"/>
        <v>35</v>
      </c>
      <c r="E71" s="214">
        <f>+Sheet2!E33</f>
        <v>0</v>
      </c>
      <c r="F71" s="139">
        <v>35</v>
      </c>
      <c r="G71" s="199">
        <f>+Sheet2!M33</f>
        <v>0</v>
      </c>
      <c r="H71" s="200">
        <v>0</v>
      </c>
    </row>
    <row r="72" spans="1:8" x14ac:dyDescent="0.55000000000000004">
      <c r="A72" s="208"/>
      <c r="B72" s="211" t="s">
        <v>98</v>
      </c>
      <c r="C72" s="199">
        <f t="shared" si="13"/>
        <v>690950900</v>
      </c>
      <c r="D72" s="139">
        <f t="shared" si="13"/>
        <v>7</v>
      </c>
      <c r="E72" s="214">
        <f>+Sheet2!G33</f>
        <v>690950900</v>
      </c>
      <c r="F72" s="139">
        <v>7</v>
      </c>
      <c r="G72" s="199">
        <f>+Sheet2!O33</f>
        <v>0</v>
      </c>
      <c r="H72" s="200">
        <v>0</v>
      </c>
    </row>
    <row r="73" spans="1:8" s="95" customFormat="1" x14ac:dyDescent="0.55000000000000004">
      <c r="A73" s="223"/>
      <c r="B73" s="216" t="s">
        <v>18</v>
      </c>
      <c r="C73" s="217">
        <f t="shared" si="13"/>
        <v>0</v>
      </c>
      <c r="D73" s="218">
        <f t="shared" si="13"/>
        <v>16</v>
      </c>
      <c r="E73" s="219">
        <f>+Sheet2!I33</f>
        <v>0</v>
      </c>
      <c r="F73" s="218">
        <v>16</v>
      </c>
      <c r="G73" s="217">
        <f>+Sheet2!Q33</f>
        <v>0</v>
      </c>
      <c r="H73" s="220">
        <v>0</v>
      </c>
    </row>
    <row r="74" spans="1:8" x14ac:dyDescent="0.55000000000000004">
      <c r="A74" s="210"/>
      <c r="B74" s="225" t="s">
        <v>96</v>
      </c>
      <c r="C74" s="226">
        <f>+C73*100/C70</f>
        <v>0</v>
      </c>
      <c r="D74" s="203"/>
      <c r="E74" s="215"/>
      <c r="F74" s="203"/>
      <c r="G74" s="202"/>
      <c r="H74" s="203"/>
    </row>
    <row r="75" spans="1:8" s="131" customFormat="1" x14ac:dyDescent="0.55000000000000004">
      <c r="A75" s="207" t="s">
        <v>11</v>
      </c>
      <c r="B75" s="197" t="s">
        <v>50</v>
      </c>
      <c r="C75" s="198" t="e">
        <f t="shared" ref="C75:D78" si="14">+E75+G75</f>
        <v>#REF!</v>
      </c>
      <c r="D75" s="201">
        <f t="shared" si="14"/>
        <v>7</v>
      </c>
      <c r="E75" s="213" t="e">
        <f>+E76+E77</f>
        <v>#REF!</v>
      </c>
      <c r="F75" s="201">
        <f>+F76+F77</f>
        <v>5</v>
      </c>
      <c r="G75" s="198">
        <f>+G76+G77</f>
        <v>62472100</v>
      </c>
      <c r="H75" s="201">
        <f>+H76+H77</f>
        <v>2</v>
      </c>
    </row>
    <row r="76" spans="1:8" s="131" customFormat="1" x14ac:dyDescent="0.55000000000000004">
      <c r="A76" s="208"/>
      <c r="B76" s="211" t="s">
        <v>142</v>
      </c>
      <c r="C76" s="199" t="e">
        <f t="shared" si="14"/>
        <v>#REF!</v>
      </c>
      <c r="D76" s="139">
        <f t="shared" si="14"/>
        <v>6</v>
      </c>
      <c r="E76" s="214" t="e">
        <f>+Sheet2!E34</f>
        <v>#REF!</v>
      </c>
      <c r="F76" s="139">
        <v>5</v>
      </c>
      <c r="G76" s="199">
        <f>+Sheet2!M34</f>
        <v>0</v>
      </c>
      <c r="H76" s="139">
        <v>1</v>
      </c>
    </row>
    <row r="77" spans="1:8" x14ac:dyDescent="0.55000000000000004">
      <c r="A77" s="208"/>
      <c r="B77" s="211" t="s">
        <v>98</v>
      </c>
      <c r="C77" s="199" t="e">
        <f t="shared" si="14"/>
        <v>#REF!</v>
      </c>
      <c r="D77" s="139">
        <f t="shared" si="14"/>
        <v>1</v>
      </c>
      <c r="E77" s="214" t="e">
        <f>+Sheet2!G34</f>
        <v>#REF!</v>
      </c>
      <c r="F77" s="200">
        <v>0</v>
      </c>
      <c r="G77" s="199">
        <f>+Sheet2!O34</f>
        <v>62472100</v>
      </c>
      <c r="H77" s="139">
        <v>1</v>
      </c>
    </row>
    <row r="78" spans="1:8" s="95" customFormat="1" x14ac:dyDescent="0.55000000000000004">
      <c r="A78" s="223"/>
      <c r="B78" s="216" t="s">
        <v>18</v>
      </c>
      <c r="C78" s="217" t="e">
        <f t="shared" si="14"/>
        <v>#REF!</v>
      </c>
      <c r="D78" s="218">
        <f t="shared" si="14"/>
        <v>1</v>
      </c>
      <c r="E78" s="219" t="e">
        <f>+Sheet2!I34</f>
        <v>#REF!</v>
      </c>
      <c r="F78" s="220">
        <v>0</v>
      </c>
      <c r="G78" s="217">
        <f>+Sheet2!Q34</f>
        <v>0</v>
      </c>
      <c r="H78" s="218">
        <v>1</v>
      </c>
    </row>
    <row r="79" spans="1:8" x14ac:dyDescent="0.55000000000000004">
      <c r="A79" s="210"/>
      <c r="B79" s="225" t="s">
        <v>96</v>
      </c>
      <c r="C79" s="226" t="e">
        <f>+C78*100/C75</f>
        <v>#REF!</v>
      </c>
      <c r="D79" s="203"/>
      <c r="E79" s="215"/>
      <c r="F79" s="203"/>
      <c r="G79" s="202"/>
      <c r="H79" s="203"/>
    </row>
    <row r="80" spans="1:8" s="131" customFormat="1" x14ac:dyDescent="0.55000000000000004">
      <c r="A80" s="207" t="s">
        <v>17</v>
      </c>
      <c r="B80" s="197" t="s">
        <v>50</v>
      </c>
      <c r="C80" s="198">
        <f t="shared" ref="C80:D83" si="15">+E80+G80</f>
        <v>200790800</v>
      </c>
      <c r="D80" s="201">
        <f t="shared" si="15"/>
        <v>11</v>
      </c>
      <c r="E80" s="213">
        <f>+E81+E82</f>
        <v>0</v>
      </c>
      <c r="F80" s="201">
        <f>+F81+F82</f>
        <v>5</v>
      </c>
      <c r="G80" s="198">
        <f>+G81+G82</f>
        <v>200790800</v>
      </c>
      <c r="H80" s="201">
        <f>+H81+H82</f>
        <v>6</v>
      </c>
    </row>
    <row r="81" spans="1:8" s="131" customFormat="1" x14ac:dyDescent="0.55000000000000004">
      <c r="A81" s="208"/>
      <c r="B81" s="211" t="s">
        <v>142</v>
      </c>
      <c r="C81" s="199">
        <f t="shared" si="15"/>
        <v>0</v>
      </c>
      <c r="D81" s="139">
        <f t="shared" si="15"/>
        <v>6</v>
      </c>
      <c r="E81" s="214">
        <f>+Sheet2!E35</f>
        <v>0</v>
      </c>
      <c r="F81" s="139">
        <v>2</v>
      </c>
      <c r="G81" s="199">
        <f>+Sheet2!M35</f>
        <v>0</v>
      </c>
      <c r="H81" s="139">
        <v>4</v>
      </c>
    </row>
    <row r="82" spans="1:8" x14ac:dyDescent="0.55000000000000004">
      <c r="A82" s="208"/>
      <c r="B82" s="211" t="s">
        <v>98</v>
      </c>
      <c r="C82" s="199">
        <f t="shared" si="15"/>
        <v>200790800</v>
      </c>
      <c r="D82" s="139">
        <f t="shared" si="15"/>
        <v>5</v>
      </c>
      <c r="E82" s="214">
        <f>+Sheet2!G35</f>
        <v>0</v>
      </c>
      <c r="F82" s="139">
        <v>3</v>
      </c>
      <c r="G82" s="199">
        <f>+Sheet2!O35</f>
        <v>200790800</v>
      </c>
      <c r="H82" s="139">
        <v>2</v>
      </c>
    </row>
    <row r="83" spans="1:8" s="95" customFormat="1" x14ac:dyDescent="0.55000000000000004">
      <c r="A83" s="223"/>
      <c r="B83" s="216" t="s">
        <v>18</v>
      </c>
      <c r="C83" s="217">
        <f t="shared" si="15"/>
        <v>0</v>
      </c>
      <c r="D83" s="220">
        <f t="shared" si="15"/>
        <v>0</v>
      </c>
      <c r="E83" s="219">
        <f>+Sheet2!I35</f>
        <v>0</v>
      </c>
      <c r="F83" s="220">
        <v>0</v>
      </c>
      <c r="G83" s="217">
        <f>+Sheet2!Q35</f>
        <v>0</v>
      </c>
      <c r="H83" s="220">
        <v>0</v>
      </c>
    </row>
    <row r="84" spans="1:8" x14ac:dyDescent="0.55000000000000004">
      <c r="A84" s="210"/>
      <c r="B84" s="225" t="s">
        <v>96</v>
      </c>
      <c r="C84" s="226">
        <f>+C83*100/C80</f>
        <v>0</v>
      </c>
      <c r="D84" s="203"/>
      <c r="E84" s="215"/>
      <c r="F84" s="203"/>
      <c r="G84" s="202"/>
      <c r="H84" s="203"/>
    </row>
    <row r="85" spans="1:8" s="131" customFormat="1" x14ac:dyDescent="0.55000000000000004">
      <c r="A85" s="207" t="s">
        <v>145</v>
      </c>
      <c r="B85" s="197" t="s">
        <v>50</v>
      </c>
      <c r="C85" s="198">
        <f t="shared" ref="C85:D88" si="16">+E85+G85</f>
        <v>229120800</v>
      </c>
      <c r="D85" s="201">
        <f t="shared" si="16"/>
        <v>20</v>
      </c>
      <c r="E85" s="213">
        <f>+E86+E87</f>
        <v>59777000</v>
      </c>
      <c r="F85" s="201">
        <f>+F86+F87</f>
        <v>16</v>
      </c>
      <c r="G85" s="198">
        <f>+G86+G87</f>
        <v>169343800</v>
      </c>
      <c r="H85" s="201">
        <f>+H86+H87</f>
        <v>4</v>
      </c>
    </row>
    <row r="86" spans="1:8" s="131" customFormat="1" x14ac:dyDescent="0.55000000000000004">
      <c r="A86" s="208"/>
      <c r="B86" s="211" t="s">
        <v>142</v>
      </c>
      <c r="C86" s="199">
        <f t="shared" si="16"/>
        <v>0</v>
      </c>
      <c r="D86" s="139">
        <f t="shared" si="16"/>
        <v>10</v>
      </c>
      <c r="E86" s="214">
        <f>+Sheet2!E36</f>
        <v>0</v>
      </c>
      <c r="F86" s="139">
        <v>7</v>
      </c>
      <c r="G86" s="199">
        <f>+Sheet2!M36</f>
        <v>0</v>
      </c>
      <c r="H86" s="139">
        <v>3</v>
      </c>
    </row>
    <row r="87" spans="1:8" x14ac:dyDescent="0.55000000000000004">
      <c r="A87" s="208"/>
      <c r="B87" s="211" t="s">
        <v>98</v>
      </c>
      <c r="C87" s="199">
        <f t="shared" si="16"/>
        <v>229120800</v>
      </c>
      <c r="D87" s="139">
        <f t="shared" si="16"/>
        <v>10</v>
      </c>
      <c r="E87" s="214">
        <f>+Sheet2!G36</f>
        <v>59777000</v>
      </c>
      <c r="F87" s="139">
        <v>9</v>
      </c>
      <c r="G87" s="199">
        <f>+Sheet2!O36</f>
        <v>169343800</v>
      </c>
      <c r="H87" s="139">
        <v>1</v>
      </c>
    </row>
    <row r="88" spans="1:8" s="95" customFormat="1" x14ac:dyDescent="0.55000000000000004">
      <c r="A88" s="223"/>
      <c r="B88" s="216" t="s">
        <v>18</v>
      </c>
      <c r="C88" s="217">
        <f t="shared" si="16"/>
        <v>0</v>
      </c>
      <c r="D88" s="218">
        <f t="shared" si="16"/>
        <v>4</v>
      </c>
      <c r="E88" s="219">
        <f>+Sheet2!I36</f>
        <v>0</v>
      </c>
      <c r="F88" s="218">
        <v>4</v>
      </c>
      <c r="G88" s="217">
        <f>+Sheet2!Q36</f>
        <v>0</v>
      </c>
      <c r="H88" s="220">
        <v>0</v>
      </c>
    </row>
    <row r="89" spans="1:8" x14ac:dyDescent="0.55000000000000004">
      <c r="A89" s="210"/>
      <c r="B89" s="225" t="s">
        <v>96</v>
      </c>
      <c r="C89" s="226">
        <f>+C88*100/C85</f>
        <v>0</v>
      </c>
      <c r="D89" s="203"/>
      <c r="E89" s="215"/>
      <c r="F89" s="203"/>
      <c r="G89" s="202"/>
      <c r="H89" s="203"/>
    </row>
    <row r="90" spans="1:8" s="131" customFormat="1" x14ac:dyDescent="0.55000000000000004">
      <c r="A90" s="207" t="s">
        <v>45</v>
      </c>
      <c r="B90" s="197" t="s">
        <v>50</v>
      </c>
      <c r="C90" s="198">
        <f t="shared" ref="C90:D93" si="17">+E90+G90</f>
        <v>7692800</v>
      </c>
      <c r="D90" s="201">
        <f t="shared" si="17"/>
        <v>2</v>
      </c>
      <c r="E90" s="213">
        <f>+E91+E92</f>
        <v>682800</v>
      </c>
      <c r="F90" s="205">
        <f>+F91+F92</f>
        <v>0</v>
      </c>
      <c r="G90" s="198">
        <f>+G91+G92</f>
        <v>7010000</v>
      </c>
      <c r="H90" s="201">
        <f>+H91+H92</f>
        <v>2</v>
      </c>
    </row>
    <row r="91" spans="1:8" s="131" customFormat="1" x14ac:dyDescent="0.55000000000000004">
      <c r="A91" s="208"/>
      <c r="B91" s="211" t="s">
        <v>142</v>
      </c>
      <c r="C91" s="199">
        <f t="shared" si="17"/>
        <v>0</v>
      </c>
      <c r="D91" s="200">
        <f t="shared" si="17"/>
        <v>0</v>
      </c>
      <c r="E91" s="214">
        <f>+Sheet2!E16</f>
        <v>0</v>
      </c>
      <c r="F91" s="200">
        <v>0</v>
      </c>
      <c r="G91" s="199">
        <f>+Sheet2!M16</f>
        <v>0</v>
      </c>
      <c r="H91" s="200">
        <v>0</v>
      </c>
    </row>
    <row r="92" spans="1:8" x14ac:dyDescent="0.55000000000000004">
      <c r="A92" s="208"/>
      <c r="B92" s="211" t="s">
        <v>98</v>
      </c>
      <c r="C92" s="199">
        <f t="shared" si="17"/>
        <v>7692800</v>
      </c>
      <c r="D92" s="139">
        <f t="shared" si="17"/>
        <v>2</v>
      </c>
      <c r="E92" s="214">
        <f>+Sheet2!G16</f>
        <v>682800</v>
      </c>
      <c r="F92" s="200">
        <v>0</v>
      </c>
      <c r="G92" s="199">
        <f>+Sheet2!O16</f>
        <v>7010000</v>
      </c>
      <c r="H92" s="139">
        <f>3-1</f>
        <v>2</v>
      </c>
    </row>
    <row r="93" spans="1:8" s="95" customFormat="1" x14ac:dyDescent="0.55000000000000004">
      <c r="A93" s="223"/>
      <c r="B93" s="216" t="s">
        <v>18</v>
      </c>
      <c r="C93" s="217">
        <f t="shared" si="17"/>
        <v>0</v>
      </c>
      <c r="D93" s="220">
        <f t="shared" si="17"/>
        <v>0</v>
      </c>
      <c r="E93" s="219">
        <f>+Sheet2!I16</f>
        <v>0</v>
      </c>
      <c r="F93" s="220">
        <v>0</v>
      </c>
      <c r="G93" s="217">
        <f>+Sheet2!Q16</f>
        <v>0</v>
      </c>
      <c r="H93" s="220">
        <v>0</v>
      </c>
    </row>
    <row r="94" spans="1:8" x14ac:dyDescent="0.55000000000000004">
      <c r="A94" s="210"/>
      <c r="B94" s="225" t="s">
        <v>96</v>
      </c>
      <c r="C94" s="226">
        <f>+C93*100/C90</f>
        <v>0</v>
      </c>
      <c r="D94" s="203"/>
      <c r="E94" s="215"/>
      <c r="F94" s="203"/>
      <c r="G94" s="202"/>
      <c r="H94" s="203"/>
    </row>
    <row r="95" spans="1:8" s="131" customFormat="1" x14ac:dyDescent="0.55000000000000004">
      <c r="A95" s="207" t="s">
        <v>36</v>
      </c>
      <c r="B95" s="197" t="s">
        <v>50</v>
      </c>
      <c r="C95" s="198">
        <f t="shared" ref="C95:D98" si="18">+E95+G95</f>
        <v>0</v>
      </c>
      <c r="D95" s="201">
        <f t="shared" si="18"/>
        <v>1</v>
      </c>
      <c r="E95" s="213">
        <f>+E96+E97</f>
        <v>0</v>
      </c>
      <c r="F95" s="205">
        <f>+F96+F97</f>
        <v>0</v>
      </c>
      <c r="G95" s="198">
        <f>+G96+G97</f>
        <v>0</v>
      </c>
      <c r="H95" s="201">
        <f>+H96+H97</f>
        <v>1</v>
      </c>
    </row>
    <row r="96" spans="1:8" s="131" customFormat="1" x14ac:dyDescent="0.55000000000000004">
      <c r="A96" s="208"/>
      <c r="B96" s="211" t="s">
        <v>142</v>
      </c>
      <c r="C96" s="199">
        <f t="shared" si="18"/>
        <v>0</v>
      </c>
      <c r="D96" s="139">
        <f t="shared" si="18"/>
        <v>1</v>
      </c>
      <c r="E96" s="214">
        <f>+Sheet2!E18</f>
        <v>0</v>
      </c>
      <c r="F96" s="200">
        <v>0</v>
      </c>
      <c r="G96" s="199">
        <f>+Sheet2!M18</f>
        <v>0</v>
      </c>
      <c r="H96" s="139">
        <v>1</v>
      </c>
    </row>
    <row r="97" spans="1:8" x14ac:dyDescent="0.55000000000000004">
      <c r="A97" s="208"/>
      <c r="B97" s="211" t="s">
        <v>98</v>
      </c>
      <c r="C97" s="199">
        <f t="shared" si="18"/>
        <v>0</v>
      </c>
      <c r="D97" s="200">
        <f t="shared" si="18"/>
        <v>0</v>
      </c>
      <c r="E97" s="214">
        <f>+Sheet2!G18</f>
        <v>0</v>
      </c>
      <c r="F97" s="200">
        <v>0</v>
      </c>
      <c r="G97" s="199">
        <f>+Sheet2!O18</f>
        <v>0</v>
      </c>
      <c r="H97" s="200">
        <v>0</v>
      </c>
    </row>
    <row r="98" spans="1:8" s="95" customFormat="1" x14ac:dyDescent="0.55000000000000004">
      <c r="A98" s="223"/>
      <c r="B98" s="216" t="s">
        <v>18</v>
      </c>
      <c r="C98" s="217">
        <f t="shared" si="18"/>
        <v>0</v>
      </c>
      <c r="D98" s="218">
        <f t="shared" si="18"/>
        <v>1</v>
      </c>
      <c r="E98" s="219">
        <f>+Sheet2!I18</f>
        <v>0</v>
      </c>
      <c r="F98" s="220">
        <v>0</v>
      </c>
      <c r="G98" s="217">
        <f>+Sheet2!Q18</f>
        <v>0</v>
      </c>
      <c r="H98" s="218">
        <v>1</v>
      </c>
    </row>
    <row r="99" spans="1:8" x14ac:dyDescent="0.55000000000000004">
      <c r="A99" s="210"/>
      <c r="B99" s="225" t="s">
        <v>96</v>
      </c>
      <c r="C99" s="226" t="e">
        <f>+C98*100/C95</f>
        <v>#DIV/0!</v>
      </c>
      <c r="D99" s="203"/>
      <c r="E99" s="215"/>
      <c r="F99" s="203"/>
      <c r="G99" s="202"/>
      <c r="H99" s="203"/>
    </row>
    <row r="100" spans="1:8" s="131" customFormat="1" x14ac:dyDescent="0.55000000000000004">
      <c r="A100" s="207" t="s">
        <v>5</v>
      </c>
      <c r="B100" s="197" t="s">
        <v>50</v>
      </c>
      <c r="C100" s="198">
        <f t="shared" ref="C100:D103" si="19">+E100+G100</f>
        <v>30256800</v>
      </c>
      <c r="D100" s="201">
        <f t="shared" si="19"/>
        <v>33</v>
      </c>
      <c r="E100" s="213">
        <f>+E101+E102</f>
        <v>5500000</v>
      </c>
      <c r="F100" s="201">
        <f>+F101+F102</f>
        <v>30</v>
      </c>
      <c r="G100" s="198">
        <f>+G101+G102</f>
        <v>24756800</v>
      </c>
      <c r="H100" s="201">
        <f>+H101+H102</f>
        <v>3</v>
      </c>
    </row>
    <row r="101" spans="1:8" s="131" customFormat="1" x14ac:dyDescent="0.55000000000000004">
      <c r="A101" s="208"/>
      <c r="B101" s="211" t="s">
        <v>142</v>
      </c>
      <c r="C101" s="199">
        <f t="shared" si="19"/>
        <v>0</v>
      </c>
      <c r="D101" s="139">
        <f t="shared" si="19"/>
        <v>29</v>
      </c>
      <c r="E101" s="214">
        <f>+Sheet2!E38</f>
        <v>0</v>
      </c>
      <c r="F101" s="139">
        <v>27</v>
      </c>
      <c r="G101" s="199">
        <f>+Sheet2!M38</f>
        <v>0</v>
      </c>
      <c r="H101" s="139">
        <v>2</v>
      </c>
    </row>
    <row r="102" spans="1:8" x14ac:dyDescent="0.55000000000000004">
      <c r="A102" s="208"/>
      <c r="B102" s="211" t="s">
        <v>98</v>
      </c>
      <c r="C102" s="199">
        <f t="shared" si="19"/>
        <v>30256800</v>
      </c>
      <c r="D102" s="139">
        <f t="shared" si="19"/>
        <v>4</v>
      </c>
      <c r="E102" s="214">
        <f>+Sheet2!G38</f>
        <v>5500000</v>
      </c>
      <c r="F102" s="139">
        <v>3</v>
      </c>
      <c r="G102" s="199">
        <f>+Sheet2!O38</f>
        <v>24756800</v>
      </c>
      <c r="H102" s="139">
        <v>1</v>
      </c>
    </row>
    <row r="103" spans="1:8" s="95" customFormat="1" x14ac:dyDescent="0.55000000000000004">
      <c r="A103" s="223"/>
      <c r="B103" s="216" t="s">
        <v>18</v>
      </c>
      <c r="C103" s="217">
        <f t="shared" si="19"/>
        <v>0</v>
      </c>
      <c r="D103" s="218">
        <f t="shared" si="19"/>
        <v>12</v>
      </c>
      <c r="E103" s="219">
        <f>+Sheet2!I38</f>
        <v>0</v>
      </c>
      <c r="F103" s="218">
        <v>12</v>
      </c>
      <c r="G103" s="217">
        <f>+Sheet2!Q38</f>
        <v>0</v>
      </c>
      <c r="H103" s="220">
        <v>0</v>
      </c>
    </row>
    <row r="104" spans="1:8" x14ac:dyDescent="0.55000000000000004">
      <c r="A104" s="210"/>
      <c r="B104" s="225" t="s">
        <v>96</v>
      </c>
      <c r="C104" s="226">
        <f>+C103*100/C100</f>
        <v>0</v>
      </c>
      <c r="D104" s="203"/>
      <c r="E104" s="215"/>
      <c r="F104" s="203"/>
      <c r="G104" s="202"/>
      <c r="H104" s="203"/>
    </row>
    <row r="105" spans="1:8" s="131" customFormat="1" x14ac:dyDescent="0.55000000000000004">
      <c r="A105" s="207" t="s">
        <v>2</v>
      </c>
      <c r="B105" s="197" t="s">
        <v>50</v>
      </c>
      <c r="C105" s="198" t="e">
        <f t="shared" ref="C105:D108" si="20">+E105+G105</f>
        <v>#REF!</v>
      </c>
      <c r="D105" s="201">
        <f t="shared" si="20"/>
        <v>5</v>
      </c>
      <c r="E105" s="213" t="e">
        <f>+E106+E107</f>
        <v>#REF!</v>
      </c>
      <c r="F105" s="201">
        <f>+F106+F107</f>
        <v>4</v>
      </c>
      <c r="G105" s="198">
        <f>+G106+G107</f>
        <v>29473200</v>
      </c>
      <c r="H105" s="201">
        <f>+H106+H107</f>
        <v>1</v>
      </c>
    </row>
    <row r="106" spans="1:8" s="131" customFormat="1" x14ac:dyDescent="0.55000000000000004">
      <c r="A106" s="208"/>
      <c r="B106" s="211" t="s">
        <v>142</v>
      </c>
      <c r="C106" s="199" t="e">
        <f t="shared" si="20"/>
        <v>#REF!</v>
      </c>
      <c r="D106" s="139">
        <f t="shared" si="20"/>
        <v>4</v>
      </c>
      <c r="E106" s="214" t="e">
        <f>+Sheet2!E39</f>
        <v>#REF!</v>
      </c>
      <c r="F106" s="139">
        <v>3</v>
      </c>
      <c r="G106" s="199">
        <f>+Sheet2!M39</f>
        <v>0</v>
      </c>
      <c r="H106" s="139">
        <v>1</v>
      </c>
    </row>
    <row r="107" spans="1:8" x14ac:dyDescent="0.55000000000000004">
      <c r="A107" s="208"/>
      <c r="B107" s="211" t="s">
        <v>98</v>
      </c>
      <c r="C107" s="199" t="e">
        <f t="shared" si="20"/>
        <v>#REF!</v>
      </c>
      <c r="D107" s="139">
        <f t="shared" si="20"/>
        <v>1</v>
      </c>
      <c r="E107" s="214" t="e">
        <f>+Sheet2!G39</f>
        <v>#REF!</v>
      </c>
      <c r="F107" s="139">
        <v>1</v>
      </c>
      <c r="G107" s="199">
        <f>+Sheet2!O39</f>
        <v>29473200</v>
      </c>
      <c r="H107" s="200">
        <v>0</v>
      </c>
    </row>
    <row r="108" spans="1:8" s="95" customFormat="1" x14ac:dyDescent="0.55000000000000004">
      <c r="A108" s="223"/>
      <c r="B108" s="216" t="s">
        <v>18</v>
      </c>
      <c r="C108" s="217" t="e">
        <f t="shared" si="20"/>
        <v>#REF!</v>
      </c>
      <c r="D108" s="220">
        <f t="shared" si="20"/>
        <v>0</v>
      </c>
      <c r="E108" s="219" t="e">
        <f>+Sheet2!I39</f>
        <v>#REF!</v>
      </c>
      <c r="F108" s="220">
        <v>0</v>
      </c>
      <c r="G108" s="217">
        <f>+Sheet2!Q39</f>
        <v>0</v>
      </c>
      <c r="H108" s="220">
        <v>0</v>
      </c>
    </row>
    <row r="109" spans="1:8" x14ac:dyDescent="0.55000000000000004">
      <c r="A109" s="210"/>
      <c r="B109" s="225" t="s">
        <v>96</v>
      </c>
      <c r="C109" s="226" t="e">
        <f>+C108*100/C105</f>
        <v>#REF!</v>
      </c>
      <c r="D109" s="203"/>
      <c r="E109" s="215"/>
      <c r="F109" s="203"/>
      <c r="G109" s="202"/>
      <c r="H109" s="203"/>
    </row>
    <row r="110" spans="1:8" s="131" customFormat="1" x14ac:dyDescent="0.55000000000000004">
      <c r="A110" s="207" t="s">
        <v>34</v>
      </c>
      <c r="B110" s="197" t="s">
        <v>50</v>
      </c>
      <c r="C110" s="198">
        <f t="shared" ref="C110:D113" si="21">+E110+G110</f>
        <v>303068300</v>
      </c>
      <c r="D110" s="201">
        <f t="shared" si="21"/>
        <v>2</v>
      </c>
      <c r="E110" s="213">
        <f>+E111+E112</f>
        <v>50666300</v>
      </c>
      <c r="F110" s="201">
        <f>+F111+F112</f>
        <v>1</v>
      </c>
      <c r="G110" s="198">
        <f>+G111+G112</f>
        <v>252402000</v>
      </c>
      <c r="H110" s="201">
        <f>+H111+H112</f>
        <v>1</v>
      </c>
    </row>
    <row r="111" spans="1:8" s="131" customFormat="1" x14ac:dyDescent="0.55000000000000004">
      <c r="A111" s="208"/>
      <c r="B111" s="211" t="s">
        <v>142</v>
      </c>
      <c r="C111" s="199">
        <f t="shared" si="21"/>
        <v>0</v>
      </c>
      <c r="D111" s="139">
        <f t="shared" si="21"/>
        <v>2</v>
      </c>
      <c r="E111" s="214">
        <f>+Sheet2!E40</f>
        <v>0</v>
      </c>
      <c r="F111" s="139">
        <v>1</v>
      </c>
      <c r="G111" s="199">
        <f>+Sheet2!M40</f>
        <v>0</v>
      </c>
      <c r="H111" s="139">
        <v>1</v>
      </c>
    </row>
    <row r="112" spans="1:8" x14ac:dyDescent="0.55000000000000004">
      <c r="A112" s="208"/>
      <c r="B112" s="211" t="s">
        <v>98</v>
      </c>
      <c r="C112" s="199">
        <f t="shared" si="21"/>
        <v>303068300</v>
      </c>
      <c r="D112" s="200">
        <f t="shared" si="21"/>
        <v>0</v>
      </c>
      <c r="E112" s="214">
        <f>+Sheet2!G40</f>
        <v>50666300</v>
      </c>
      <c r="F112" s="200">
        <v>0</v>
      </c>
      <c r="G112" s="199">
        <f>+Sheet2!O40</f>
        <v>252402000</v>
      </c>
      <c r="H112" s="200">
        <v>0</v>
      </c>
    </row>
    <row r="113" spans="1:8" s="95" customFormat="1" x14ac:dyDescent="0.55000000000000004">
      <c r="A113" s="223"/>
      <c r="B113" s="216" t="s">
        <v>18</v>
      </c>
      <c r="C113" s="217">
        <f t="shared" si="21"/>
        <v>0</v>
      </c>
      <c r="D113" s="220">
        <f t="shared" si="21"/>
        <v>0</v>
      </c>
      <c r="E113" s="219">
        <f>+Sheet2!I40</f>
        <v>0</v>
      </c>
      <c r="F113" s="220">
        <v>0</v>
      </c>
      <c r="G113" s="217">
        <f>+Sheet2!Q40</f>
        <v>0</v>
      </c>
      <c r="H113" s="220">
        <v>0</v>
      </c>
    </row>
    <row r="114" spans="1:8" x14ac:dyDescent="0.55000000000000004">
      <c r="A114" s="210"/>
      <c r="B114" s="225" t="s">
        <v>96</v>
      </c>
      <c r="C114" s="226">
        <f>+C113*100/C110</f>
        <v>0</v>
      </c>
      <c r="D114" s="203"/>
      <c r="E114" s="215"/>
      <c r="F114" s="203"/>
      <c r="G114" s="202"/>
      <c r="H114" s="203"/>
    </row>
    <row r="115" spans="1:8" s="131" customFormat="1" x14ac:dyDescent="0.55000000000000004">
      <c r="A115" s="207" t="s">
        <v>28</v>
      </c>
      <c r="B115" s="197" t="s">
        <v>50</v>
      </c>
      <c r="C115" s="198">
        <f t="shared" ref="C115:D118" si="22">+E115+G115</f>
        <v>940500</v>
      </c>
      <c r="D115" s="201">
        <f t="shared" si="22"/>
        <v>2</v>
      </c>
      <c r="E115" s="213">
        <f>+E116+E117</f>
        <v>940500</v>
      </c>
      <c r="F115" s="201">
        <f>+F116+F117</f>
        <v>2</v>
      </c>
      <c r="G115" s="198">
        <f>+G116+G117</f>
        <v>0</v>
      </c>
      <c r="H115" s="205">
        <f>+H116+H117</f>
        <v>0</v>
      </c>
    </row>
    <row r="116" spans="1:8" s="131" customFormat="1" x14ac:dyDescent="0.55000000000000004">
      <c r="A116" s="208"/>
      <c r="B116" s="211" t="s">
        <v>142</v>
      </c>
      <c r="C116" s="199">
        <f t="shared" si="22"/>
        <v>0</v>
      </c>
      <c r="D116" s="139">
        <f t="shared" si="22"/>
        <v>2</v>
      </c>
      <c r="E116" s="214">
        <f>+Sheet2!E42</f>
        <v>0</v>
      </c>
      <c r="F116" s="139">
        <v>2</v>
      </c>
      <c r="G116" s="199">
        <f>+Sheet2!M42</f>
        <v>0</v>
      </c>
      <c r="H116" s="200">
        <v>0</v>
      </c>
    </row>
    <row r="117" spans="1:8" x14ac:dyDescent="0.55000000000000004">
      <c r="A117" s="208"/>
      <c r="B117" s="211" t="s">
        <v>98</v>
      </c>
      <c r="C117" s="199">
        <f t="shared" si="22"/>
        <v>940500</v>
      </c>
      <c r="D117" s="200">
        <f t="shared" si="22"/>
        <v>0</v>
      </c>
      <c r="E117" s="214">
        <f>+Sheet2!G42</f>
        <v>940500</v>
      </c>
      <c r="F117" s="200">
        <v>0</v>
      </c>
      <c r="G117" s="199">
        <f>+Sheet2!O42</f>
        <v>0</v>
      </c>
      <c r="H117" s="200">
        <v>0</v>
      </c>
    </row>
    <row r="118" spans="1:8" s="95" customFormat="1" x14ac:dyDescent="0.55000000000000004">
      <c r="A118" s="223"/>
      <c r="B118" s="216" t="s">
        <v>18</v>
      </c>
      <c r="C118" s="217">
        <f t="shared" si="22"/>
        <v>0</v>
      </c>
      <c r="D118" s="220">
        <f t="shared" si="22"/>
        <v>0</v>
      </c>
      <c r="E118" s="219">
        <f>+Sheet2!I42</f>
        <v>0</v>
      </c>
      <c r="F118" s="220">
        <v>0</v>
      </c>
      <c r="G118" s="217">
        <f>+Sheet2!Q42</f>
        <v>0</v>
      </c>
      <c r="H118" s="220">
        <v>0</v>
      </c>
    </row>
    <row r="119" spans="1:8" x14ac:dyDescent="0.55000000000000004">
      <c r="A119" s="210"/>
      <c r="B119" s="225" t="s">
        <v>96</v>
      </c>
      <c r="C119" s="226">
        <f>+C118*100/C115</f>
        <v>0</v>
      </c>
      <c r="D119" s="203"/>
      <c r="E119" s="215"/>
      <c r="F119" s="203"/>
      <c r="G119" s="202"/>
      <c r="H119" s="203"/>
    </row>
    <row r="120" spans="1:8" s="131" customFormat="1" x14ac:dyDescent="0.55000000000000004">
      <c r="A120" s="207" t="s">
        <v>35</v>
      </c>
      <c r="B120" s="197" t="s">
        <v>50</v>
      </c>
      <c r="C120" s="198" t="e">
        <f t="shared" ref="C120:D123" si="23">+E120+G120</f>
        <v>#REF!</v>
      </c>
      <c r="D120" s="201">
        <f t="shared" si="23"/>
        <v>2</v>
      </c>
      <c r="E120" s="213" t="e">
        <f>+E121+E122</f>
        <v>#REF!</v>
      </c>
      <c r="F120" s="201">
        <f>+F121+F122</f>
        <v>1</v>
      </c>
      <c r="G120" s="198">
        <f>+G121+G122</f>
        <v>0</v>
      </c>
      <c r="H120" s="201">
        <f>+H121+H122</f>
        <v>1</v>
      </c>
    </row>
    <row r="121" spans="1:8" s="131" customFormat="1" x14ac:dyDescent="0.55000000000000004">
      <c r="A121" s="208"/>
      <c r="B121" s="211" t="s">
        <v>142</v>
      </c>
      <c r="C121" s="199" t="e">
        <f t="shared" si="23"/>
        <v>#REF!</v>
      </c>
      <c r="D121" s="139">
        <f t="shared" si="23"/>
        <v>2</v>
      </c>
      <c r="E121" s="214" t="e">
        <f>+Sheet2!E41</f>
        <v>#REF!</v>
      </c>
      <c r="F121" s="139">
        <v>1</v>
      </c>
      <c r="G121" s="199">
        <f>+Sheet2!M41</f>
        <v>0</v>
      </c>
      <c r="H121" s="139">
        <v>1</v>
      </c>
    </row>
    <row r="122" spans="1:8" x14ac:dyDescent="0.55000000000000004">
      <c r="A122" s="208"/>
      <c r="B122" s="211" t="s">
        <v>98</v>
      </c>
      <c r="C122" s="199" t="e">
        <f t="shared" si="23"/>
        <v>#REF!</v>
      </c>
      <c r="D122" s="200">
        <f t="shared" si="23"/>
        <v>0</v>
      </c>
      <c r="E122" s="214" t="e">
        <f>+Sheet2!G41</f>
        <v>#REF!</v>
      </c>
      <c r="F122" s="200">
        <v>0</v>
      </c>
      <c r="G122" s="199">
        <f>+Sheet2!O41</f>
        <v>0</v>
      </c>
      <c r="H122" s="200">
        <v>0</v>
      </c>
    </row>
    <row r="123" spans="1:8" s="95" customFormat="1" x14ac:dyDescent="0.55000000000000004">
      <c r="A123" s="223"/>
      <c r="B123" s="216" t="s">
        <v>18</v>
      </c>
      <c r="C123" s="217" t="e">
        <f t="shared" si="23"/>
        <v>#REF!</v>
      </c>
      <c r="D123" s="218">
        <f t="shared" si="23"/>
        <v>1</v>
      </c>
      <c r="E123" s="219" t="e">
        <f>+Sheet2!I41</f>
        <v>#REF!</v>
      </c>
      <c r="F123" s="220">
        <v>0</v>
      </c>
      <c r="G123" s="217">
        <f>+Sheet2!Q41</f>
        <v>0</v>
      </c>
      <c r="H123" s="218">
        <v>1</v>
      </c>
    </row>
    <row r="124" spans="1:8" x14ac:dyDescent="0.55000000000000004">
      <c r="A124" s="210"/>
      <c r="B124" s="225" t="s">
        <v>96</v>
      </c>
      <c r="C124" s="226" t="e">
        <f>+C123*100/C120</f>
        <v>#REF!</v>
      </c>
      <c r="D124" s="203"/>
      <c r="E124" s="215"/>
      <c r="F124" s="203"/>
      <c r="G124" s="202"/>
      <c r="H124" s="203"/>
    </row>
    <row r="125" spans="1:8" s="131" customFormat="1" x14ac:dyDescent="0.55000000000000004">
      <c r="A125" s="207" t="s">
        <v>4</v>
      </c>
      <c r="B125" s="197" t="s">
        <v>50</v>
      </c>
      <c r="C125" s="198" t="e">
        <f t="shared" ref="C125:D128" si="24">+E125+G125</f>
        <v>#REF!</v>
      </c>
      <c r="D125" s="201">
        <f t="shared" si="24"/>
        <v>26</v>
      </c>
      <c r="E125" s="213">
        <f>+E126+E127</f>
        <v>807245900</v>
      </c>
      <c r="F125" s="201">
        <f>+F126+F127</f>
        <v>23</v>
      </c>
      <c r="G125" s="198" t="e">
        <f>+G126+G127</f>
        <v>#REF!</v>
      </c>
      <c r="H125" s="201">
        <f>+H126+H127</f>
        <v>3</v>
      </c>
    </row>
    <row r="126" spans="1:8" s="131" customFormat="1" x14ac:dyDescent="0.55000000000000004">
      <c r="A126" s="208"/>
      <c r="B126" s="211" t="s">
        <v>142</v>
      </c>
      <c r="C126" s="199" t="e">
        <f t="shared" si="24"/>
        <v>#REF!</v>
      </c>
      <c r="D126" s="139">
        <f t="shared" si="24"/>
        <v>15</v>
      </c>
      <c r="E126" s="214">
        <f>+Sheet2!E13</f>
        <v>0</v>
      </c>
      <c r="F126" s="139">
        <f>20-5</f>
        <v>15</v>
      </c>
      <c r="G126" s="199" t="e">
        <f>+Sheet2!M13</f>
        <v>#REF!</v>
      </c>
      <c r="H126" s="200">
        <v>0</v>
      </c>
    </row>
    <row r="127" spans="1:8" x14ac:dyDescent="0.55000000000000004">
      <c r="A127" s="208"/>
      <c r="B127" s="211" t="s">
        <v>98</v>
      </c>
      <c r="C127" s="199" t="e">
        <f t="shared" si="24"/>
        <v>#REF!</v>
      </c>
      <c r="D127" s="139">
        <f t="shared" si="24"/>
        <v>11</v>
      </c>
      <c r="E127" s="214">
        <f>+Sheet2!G13</f>
        <v>807245900</v>
      </c>
      <c r="F127" s="139">
        <f>18-10</f>
        <v>8</v>
      </c>
      <c r="G127" s="199" t="e">
        <f>+Sheet2!O13</f>
        <v>#REF!</v>
      </c>
      <c r="H127" s="139">
        <f>5-2</f>
        <v>3</v>
      </c>
    </row>
    <row r="128" spans="1:8" s="95" customFormat="1" x14ac:dyDescent="0.55000000000000004">
      <c r="A128" s="223"/>
      <c r="B128" s="216" t="s">
        <v>18</v>
      </c>
      <c r="C128" s="217" t="e">
        <f t="shared" si="24"/>
        <v>#REF!</v>
      </c>
      <c r="D128" s="218">
        <f t="shared" si="24"/>
        <v>3</v>
      </c>
      <c r="E128" s="219">
        <f>+Sheet2!I13</f>
        <v>0</v>
      </c>
      <c r="F128" s="218">
        <v>3</v>
      </c>
      <c r="G128" s="217" t="e">
        <f>+Sheet2!Q13</f>
        <v>#REF!</v>
      </c>
      <c r="H128" s="220">
        <v>0</v>
      </c>
    </row>
    <row r="129" spans="1:8" x14ac:dyDescent="0.55000000000000004">
      <c r="A129" s="210"/>
      <c r="B129" s="225" t="s">
        <v>96</v>
      </c>
      <c r="C129" s="226" t="e">
        <f>+C128*100/C125</f>
        <v>#REF!</v>
      </c>
      <c r="D129" s="203"/>
      <c r="E129" s="215"/>
      <c r="F129" s="203"/>
      <c r="G129" s="202"/>
      <c r="H129" s="203"/>
    </row>
    <row r="130" spans="1:8" s="131" customFormat="1" x14ac:dyDescent="0.55000000000000004">
      <c r="A130" s="207" t="s">
        <v>40</v>
      </c>
      <c r="B130" s="197" t="s">
        <v>50</v>
      </c>
      <c r="C130" s="198">
        <f t="shared" ref="C130:D133" si="25">+E130+G130</f>
        <v>0</v>
      </c>
      <c r="D130" s="201">
        <f t="shared" si="25"/>
        <v>1</v>
      </c>
      <c r="E130" s="213">
        <f>+E131+E132</f>
        <v>0</v>
      </c>
      <c r="F130" s="201">
        <f>+F131+F132</f>
        <v>1</v>
      </c>
      <c r="G130" s="198">
        <f>+G131+G132</f>
        <v>0</v>
      </c>
      <c r="H130" s="205">
        <f>+H131+H132</f>
        <v>0</v>
      </c>
    </row>
    <row r="131" spans="1:8" s="131" customFormat="1" x14ac:dyDescent="0.55000000000000004">
      <c r="A131" s="208"/>
      <c r="B131" s="211" t="s">
        <v>142</v>
      </c>
      <c r="C131" s="199">
        <f t="shared" si="25"/>
        <v>0</v>
      </c>
      <c r="D131" s="139">
        <f t="shared" si="25"/>
        <v>1</v>
      </c>
      <c r="E131" s="214">
        <f>+Sheet2!E17</f>
        <v>0</v>
      </c>
      <c r="F131" s="139">
        <v>1</v>
      </c>
      <c r="G131" s="199">
        <f>+Sheet2!M17</f>
        <v>0</v>
      </c>
      <c r="H131" s="200">
        <v>0</v>
      </c>
    </row>
    <row r="132" spans="1:8" x14ac:dyDescent="0.55000000000000004">
      <c r="A132" s="208"/>
      <c r="B132" s="211" t="s">
        <v>98</v>
      </c>
      <c r="C132" s="199">
        <f t="shared" si="25"/>
        <v>0</v>
      </c>
      <c r="D132" s="200">
        <f t="shared" si="25"/>
        <v>0</v>
      </c>
      <c r="E132" s="214">
        <f>+Sheet2!G17</f>
        <v>0</v>
      </c>
      <c r="F132" s="200">
        <v>0</v>
      </c>
      <c r="G132" s="199">
        <f>+Sheet2!O17</f>
        <v>0</v>
      </c>
      <c r="H132" s="200">
        <v>0</v>
      </c>
    </row>
    <row r="133" spans="1:8" s="95" customFormat="1" x14ac:dyDescent="0.55000000000000004">
      <c r="A133" s="223"/>
      <c r="B133" s="216" t="s">
        <v>18</v>
      </c>
      <c r="C133" s="217">
        <f t="shared" si="25"/>
        <v>0</v>
      </c>
      <c r="D133" s="220">
        <f t="shared" si="25"/>
        <v>0</v>
      </c>
      <c r="E133" s="219">
        <f>+Sheet2!I17</f>
        <v>0</v>
      </c>
      <c r="F133" s="220">
        <v>0</v>
      </c>
      <c r="G133" s="217">
        <f>+Sheet2!Q17</f>
        <v>0</v>
      </c>
      <c r="H133" s="220">
        <v>0</v>
      </c>
    </row>
    <row r="134" spans="1:8" x14ac:dyDescent="0.55000000000000004">
      <c r="A134" s="210"/>
      <c r="B134" s="225" t="s">
        <v>96</v>
      </c>
      <c r="C134" s="226" t="e">
        <f>+C133*100/C130</f>
        <v>#DIV/0!</v>
      </c>
      <c r="D134" s="203"/>
      <c r="E134" s="215"/>
      <c r="F134" s="203"/>
      <c r="G134" s="202"/>
      <c r="H134" s="203"/>
    </row>
    <row r="135" spans="1:8" s="131" customFormat="1" x14ac:dyDescent="0.55000000000000004">
      <c r="A135" s="207" t="s">
        <v>43</v>
      </c>
      <c r="B135" s="197" t="s">
        <v>50</v>
      </c>
      <c r="C135" s="198">
        <f t="shared" ref="C135:D138" si="26">+E135+G135</f>
        <v>0</v>
      </c>
      <c r="D135" s="201">
        <f t="shared" si="26"/>
        <v>1</v>
      </c>
      <c r="E135" s="213">
        <f>+E136+E137</f>
        <v>0</v>
      </c>
      <c r="F135" s="201">
        <f>+F136+F137</f>
        <v>1</v>
      </c>
      <c r="G135" s="198">
        <f>+G136+G137</f>
        <v>0</v>
      </c>
      <c r="H135" s="205">
        <f>+H136+H137</f>
        <v>0</v>
      </c>
    </row>
    <row r="136" spans="1:8" s="131" customFormat="1" x14ac:dyDescent="0.55000000000000004">
      <c r="A136" s="208"/>
      <c r="B136" s="211" t="s">
        <v>142</v>
      </c>
      <c r="C136" s="199">
        <f t="shared" si="26"/>
        <v>0</v>
      </c>
      <c r="D136" s="139">
        <f t="shared" si="26"/>
        <v>1</v>
      </c>
      <c r="E136" s="214">
        <f>+Sheet2!E19</f>
        <v>0</v>
      </c>
      <c r="F136" s="139">
        <v>1</v>
      </c>
      <c r="G136" s="199">
        <f>+Sheet2!M19</f>
        <v>0</v>
      </c>
      <c r="H136" s="200">
        <v>0</v>
      </c>
    </row>
    <row r="137" spans="1:8" x14ac:dyDescent="0.55000000000000004">
      <c r="A137" s="208"/>
      <c r="B137" s="211" t="s">
        <v>98</v>
      </c>
      <c r="C137" s="199">
        <f t="shared" si="26"/>
        <v>0</v>
      </c>
      <c r="D137" s="200">
        <f t="shared" si="26"/>
        <v>0</v>
      </c>
      <c r="E137" s="214">
        <f>+Sheet2!G19</f>
        <v>0</v>
      </c>
      <c r="F137" s="200">
        <v>0</v>
      </c>
      <c r="G137" s="199">
        <f>+Sheet2!O19</f>
        <v>0</v>
      </c>
      <c r="H137" s="200">
        <v>0</v>
      </c>
    </row>
    <row r="138" spans="1:8" s="95" customFormat="1" x14ac:dyDescent="0.55000000000000004">
      <c r="A138" s="223"/>
      <c r="B138" s="216" t="s">
        <v>18</v>
      </c>
      <c r="C138" s="217">
        <f t="shared" si="26"/>
        <v>0</v>
      </c>
      <c r="D138" s="218">
        <f t="shared" si="26"/>
        <v>1</v>
      </c>
      <c r="E138" s="219">
        <f>+Sheet2!I19</f>
        <v>0</v>
      </c>
      <c r="F138" s="218">
        <v>1</v>
      </c>
      <c r="G138" s="217">
        <f>+Sheet2!Q19</f>
        <v>0</v>
      </c>
      <c r="H138" s="220">
        <v>0</v>
      </c>
    </row>
    <row r="139" spans="1:8" x14ac:dyDescent="0.55000000000000004">
      <c r="A139" s="210"/>
      <c r="B139" s="225" t="s">
        <v>96</v>
      </c>
      <c r="C139" s="226" t="e">
        <f>+C138*100/C135</f>
        <v>#DIV/0!</v>
      </c>
      <c r="D139" s="203"/>
      <c r="E139" s="215"/>
      <c r="F139" s="203"/>
      <c r="G139" s="202"/>
      <c r="H139" s="203"/>
    </row>
    <row r="140" spans="1:8" s="131" customFormat="1" x14ac:dyDescent="0.55000000000000004">
      <c r="A140" s="207" t="s">
        <v>38</v>
      </c>
      <c r="B140" s="197" t="s">
        <v>50</v>
      </c>
      <c r="C140" s="198" t="e">
        <f t="shared" ref="C140:D143" si="27">+E140+G140</f>
        <v>#REF!</v>
      </c>
      <c r="D140" s="201">
        <f t="shared" si="27"/>
        <v>3</v>
      </c>
      <c r="E140" s="213" t="e">
        <f>+E141+E142</f>
        <v>#REF!</v>
      </c>
      <c r="F140" s="201">
        <f>+F141+F142</f>
        <v>2</v>
      </c>
      <c r="G140" s="198">
        <f>+G141+G142</f>
        <v>15458000</v>
      </c>
      <c r="H140" s="201">
        <f>+H141+H142</f>
        <v>1</v>
      </c>
    </row>
    <row r="141" spans="1:8" s="131" customFormat="1" x14ac:dyDescent="0.55000000000000004">
      <c r="A141" s="208"/>
      <c r="B141" s="211" t="s">
        <v>142</v>
      </c>
      <c r="C141" s="199" t="e">
        <f t="shared" si="27"/>
        <v>#REF!</v>
      </c>
      <c r="D141" s="139">
        <f t="shared" si="27"/>
        <v>3</v>
      </c>
      <c r="E141" s="214" t="e">
        <f>+Sheet2!E14</f>
        <v>#REF!</v>
      </c>
      <c r="F141" s="139">
        <v>2</v>
      </c>
      <c r="G141" s="199">
        <f>+Sheet2!M14</f>
        <v>0</v>
      </c>
      <c r="H141" s="139">
        <v>1</v>
      </c>
    </row>
    <row r="142" spans="1:8" x14ac:dyDescent="0.55000000000000004">
      <c r="A142" s="208"/>
      <c r="B142" s="211" t="s">
        <v>98</v>
      </c>
      <c r="C142" s="199" t="e">
        <f t="shared" si="27"/>
        <v>#REF!</v>
      </c>
      <c r="D142" s="200">
        <f t="shared" si="27"/>
        <v>0</v>
      </c>
      <c r="E142" s="214" t="e">
        <f>+Sheet2!G14</f>
        <v>#REF!</v>
      </c>
      <c r="F142" s="200">
        <v>0</v>
      </c>
      <c r="G142" s="199">
        <f>+Sheet2!O14</f>
        <v>15458000</v>
      </c>
      <c r="H142" s="200">
        <v>0</v>
      </c>
    </row>
    <row r="143" spans="1:8" s="95" customFormat="1" x14ac:dyDescent="0.55000000000000004">
      <c r="A143" s="223"/>
      <c r="B143" s="216" t="s">
        <v>18</v>
      </c>
      <c r="C143" s="217" t="e">
        <f t="shared" si="27"/>
        <v>#REF!</v>
      </c>
      <c r="D143" s="218">
        <f t="shared" si="27"/>
        <v>2</v>
      </c>
      <c r="E143" s="219" t="e">
        <f>+Sheet2!I14</f>
        <v>#REF!</v>
      </c>
      <c r="F143" s="218">
        <v>2</v>
      </c>
      <c r="G143" s="217">
        <f>+Sheet2!Q14</f>
        <v>0</v>
      </c>
      <c r="H143" s="220">
        <v>0</v>
      </c>
    </row>
    <row r="144" spans="1:8" x14ac:dyDescent="0.55000000000000004">
      <c r="A144" s="210"/>
      <c r="B144" s="225" t="s">
        <v>96</v>
      </c>
      <c r="C144" s="226" t="e">
        <f>+C143*100/C140</f>
        <v>#REF!</v>
      </c>
      <c r="D144" s="203"/>
      <c r="E144" s="215"/>
      <c r="F144" s="203"/>
      <c r="G144" s="202"/>
      <c r="H144" s="203"/>
    </row>
    <row r="145" spans="1:8" s="131" customFormat="1" x14ac:dyDescent="0.55000000000000004">
      <c r="A145" s="207" t="s">
        <v>39</v>
      </c>
      <c r="B145" s="197" t="s">
        <v>50</v>
      </c>
      <c r="C145" s="198">
        <f t="shared" ref="C145:D148" si="28">+E145+G145</f>
        <v>0</v>
      </c>
      <c r="D145" s="201">
        <f t="shared" si="28"/>
        <v>2</v>
      </c>
      <c r="E145" s="213">
        <f>+E146+E147</f>
        <v>0</v>
      </c>
      <c r="F145" s="201">
        <f>+F146+F147</f>
        <v>2</v>
      </c>
      <c r="G145" s="198">
        <f>+G146+G147</f>
        <v>0</v>
      </c>
      <c r="H145" s="205">
        <f>+H146+H147</f>
        <v>0</v>
      </c>
    </row>
    <row r="146" spans="1:8" s="131" customFormat="1" x14ac:dyDescent="0.55000000000000004">
      <c r="A146" s="208"/>
      <c r="B146" s="211" t="s">
        <v>142</v>
      </c>
      <c r="C146" s="199">
        <f t="shared" si="28"/>
        <v>0</v>
      </c>
      <c r="D146" s="139">
        <f t="shared" si="28"/>
        <v>2</v>
      </c>
      <c r="E146" s="214">
        <f>+Sheet2!E6</f>
        <v>0</v>
      </c>
      <c r="F146" s="139">
        <v>2</v>
      </c>
      <c r="G146" s="199">
        <f>+Sheet2!M6</f>
        <v>0</v>
      </c>
      <c r="H146" s="200">
        <v>0</v>
      </c>
    </row>
    <row r="147" spans="1:8" x14ac:dyDescent="0.55000000000000004">
      <c r="A147" s="208"/>
      <c r="B147" s="211" t="s">
        <v>98</v>
      </c>
      <c r="C147" s="199">
        <f t="shared" si="28"/>
        <v>0</v>
      </c>
      <c r="D147" s="200">
        <f t="shared" si="28"/>
        <v>0</v>
      </c>
      <c r="E147" s="214">
        <f>+Sheet2!G6</f>
        <v>0</v>
      </c>
      <c r="F147" s="200">
        <v>0</v>
      </c>
      <c r="G147" s="199">
        <f>+Sheet2!O6</f>
        <v>0</v>
      </c>
      <c r="H147" s="200">
        <v>0</v>
      </c>
    </row>
    <row r="148" spans="1:8" s="95" customFormat="1" x14ac:dyDescent="0.55000000000000004">
      <c r="A148" s="223"/>
      <c r="B148" s="216" t="s">
        <v>18</v>
      </c>
      <c r="C148" s="217">
        <f t="shared" si="28"/>
        <v>0</v>
      </c>
      <c r="D148" s="218">
        <f t="shared" si="28"/>
        <v>2</v>
      </c>
      <c r="E148" s="219">
        <f>+Sheet2!I6</f>
        <v>0</v>
      </c>
      <c r="F148" s="218">
        <v>2</v>
      </c>
      <c r="G148" s="217">
        <f>+Sheet2!Q6</f>
        <v>0</v>
      </c>
      <c r="H148" s="220">
        <v>0</v>
      </c>
    </row>
    <row r="149" spans="1:8" x14ac:dyDescent="0.55000000000000004">
      <c r="A149" s="210"/>
      <c r="B149" s="225" t="s">
        <v>96</v>
      </c>
      <c r="C149" s="226" t="e">
        <f>+C148*100/C145</f>
        <v>#DIV/0!</v>
      </c>
      <c r="D149" s="203"/>
      <c r="E149" s="215"/>
      <c r="F149" s="203"/>
      <c r="G149" s="202"/>
      <c r="H149" s="203"/>
    </row>
    <row r="150" spans="1:8" s="131" customFormat="1" x14ac:dyDescent="0.55000000000000004">
      <c r="A150" s="207" t="s">
        <v>41</v>
      </c>
      <c r="B150" s="197" t="s">
        <v>50</v>
      </c>
      <c r="C150" s="198">
        <f t="shared" ref="C150:D153" si="29">+E150+G150</f>
        <v>0</v>
      </c>
      <c r="D150" s="201">
        <f t="shared" si="29"/>
        <v>1</v>
      </c>
      <c r="E150" s="213">
        <f>+E151+E152</f>
        <v>0</v>
      </c>
      <c r="F150" s="201">
        <f>+F151+F152</f>
        <v>1</v>
      </c>
      <c r="G150" s="198">
        <f>+G151+G152</f>
        <v>0</v>
      </c>
      <c r="H150" s="205">
        <f>+H151+H152</f>
        <v>0</v>
      </c>
    </row>
    <row r="151" spans="1:8" s="131" customFormat="1" x14ac:dyDescent="0.55000000000000004">
      <c r="A151" s="208"/>
      <c r="B151" s="211" t="s">
        <v>142</v>
      </c>
      <c r="C151" s="199">
        <f t="shared" si="29"/>
        <v>0</v>
      </c>
      <c r="D151" s="139">
        <f t="shared" si="29"/>
        <v>1</v>
      </c>
      <c r="E151" s="214">
        <f>+Sheet2!E12</f>
        <v>0</v>
      </c>
      <c r="F151" s="139">
        <v>1</v>
      </c>
      <c r="G151" s="199">
        <f>+Sheet2!M12</f>
        <v>0</v>
      </c>
      <c r="H151" s="200">
        <v>0</v>
      </c>
    </row>
    <row r="152" spans="1:8" x14ac:dyDescent="0.55000000000000004">
      <c r="A152" s="208"/>
      <c r="B152" s="211" t="s">
        <v>98</v>
      </c>
      <c r="C152" s="199">
        <f t="shared" si="29"/>
        <v>0</v>
      </c>
      <c r="D152" s="200">
        <f t="shared" si="29"/>
        <v>0</v>
      </c>
      <c r="E152" s="214">
        <f>+Sheet2!G12</f>
        <v>0</v>
      </c>
      <c r="F152" s="200">
        <v>0</v>
      </c>
      <c r="G152" s="199">
        <f>+Sheet2!O12</f>
        <v>0</v>
      </c>
      <c r="H152" s="200">
        <v>0</v>
      </c>
    </row>
    <row r="153" spans="1:8" s="95" customFormat="1" x14ac:dyDescent="0.55000000000000004">
      <c r="A153" s="223"/>
      <c r="B153" s="216" t="s">
        <v>18</v>
      </c>
      <c r="C153" s="217">
        <f t="shared" si="29"/>
        <v>0</v>
      </c>
      <c r="D153" s="218">
        <f t="shared" si="29"/>
        <v>1</v>
      </c>
      <c r="E153" s="219">
        <f>+Sheet2!I12</f>
        <v>0</v>
      </c>
      <c r="F153" s="218">
        <v>1</v>
      </c>
      <c r="G153" s="217">
        <f>+Sheet2!Q12</f>
        <v>0</v>
      </c>
      <c r="H153" s="220">
        <v>0</v>
      </c>
    </row>
    <row r="154" spans="1:8" x14ac:dyDescent="0.55000000000000004">
      <c r="A154" s="210"/>
      <c r="B154" s="225" t="s">
        <v>96</v>
      </c>
      <c r="C154" s="226" t="e">
        <f>+C153*100/C150</f>
        <v>#DIV/0!</v>
      </c>
      <c r="D154" s="203"/>
      <c r="E154" s="215"/>
      <c r="F154" s="203"/>
      <c r="G154" s="202"/>
      <c r="H154" s="203"/>
    </row>
    <row r="155" spans="1:8" s="131" customFormat="1" x14ac:dyDescent="0.55000000000000004">
      <c r="A155" s="207" t="s">
        <v>44</v>
      </c>
      <c r="B155" s="197" t="s">
        <v>50</v>
      </c>
      <c r="C155" s="198">
        <f t="shared" ref="C155:D158" si="30">+E155+G155</f>
        <v>0</v>
      </c>
      <c r="D155" s="201">
        <f t="shared" si="30"/>
        <v>1</v>
      </c>
      <c r="E155" s="213">
        <f>+E156+E157</f>
        <v>0</v>
      </c>
      <c r="F155" s="201">
        <f>+F156+F157</f>
        <v>1</v>
      </c>
      <c r="G155" s="198">
        <f>+G156+G157</f>
        <v>0</v>
      </c>
      <c r="H155" s="205">
        <f>+H156+H157</f>
        <v>0</v>
      </c>
    </row>
    <row r="156" spans="1:8" s="131" customFormat="1" x14ac:dyDescent="0.55000000000000004">
      <c r="A156" s="208"/>
      <c r="B156" s="211" t="s">
        <v>142</v>
      </c>
      <c r="C156" s="199">
        <f t="shared" si="30"/>
        <v>0</v>
      </c>
      <c r="D156" s="139">
        <f t="shared" si="30"/>
        <v>1</v>
      </c>
      <c r="E156" s="214">
        <f>+Sheet2!E11</f>
        <v>0</v>
      </c>
      <c r="F156" s="139">
        <v>1</v>
      </c>
      <c r="G156" s="199">
        <f>+Sheet2!M11</f>
        <v>0</v>
      </c>
      <c r="H156" s="200">
        <v>0</v>
      </c>
    </row>
    <row r="157" spans="1:8" x14ac:dyDescent="0.55000000000000004">
      <c r="A157" s="208"/>
      <c r="B157" s="211" t="s">
        <v>98</v>
      </c>
      <c r="C157" s="199">
        <f t="shared" si="30"/>
        <v>0</v>
      </c>
      <c r="D157" s="200">
        <f t="shared" si="30"/>
        <v>0</v>
      </c>
      <c r="E157" s="214">
        <f>+Sheet2!G11</f>
        <v>0</v>
      </c>
      <c r="F157" s="200">
        <v>0</v>
      </c>
      <c r="G157" s="199">
        <f>+Sheet2!O11</f>
        <v>0</v>
      </c>
      <c r="H157" s="200">
        <v>0</v>
      </c>
    </row>
    <row r="158" spans="1:8" s="95" customFormat="1" x14ac:dyDescent="0.55000000000000004">
      <c r="A158" s="223"/>
      <c r="B158" s="216" t="s">
        <v>18</v>
      </c>
      <c r="C158" s="217">
        <f t="shared" si="30"/>
        <v>0</v>
      </c>
      <c r="D158" s="218">
        <f t="shared" si="30"/>
        <v>1</v>
      </c>
      <c r="E158" s="219">
        <f>+Sheet2!I11</f>
        <v>0</v>
      </c>
      <c r="F158" s="218">
        <v>1</v>
      </c>
      <c r="G158" s="217">
        <f>+Sheet2!Q11</f>
        <v>0</v>
      </c>
      <c r="H158" s="220">
        <v>0</v>
      </c>
    </row>
    <row r="159" spans="1:8" x14ac:dyDescent="0.55000000000000004">
      <c r="A159" s="210"/>
      <c r="B159" s="225" t="s">
        <v>96</v>
      </c>
      <c r="C159" s="226" t="e">
        <f>+C158*100/C155</f>
        <v>#DIV/0!</v>
      </c>
      <c r="D159" s="203"/>
      <c r="E159" s="215"/>
      <c r="F159" s="203"/>
      <c r="G159" s="202"/>
      <c r="H159" s="203"/>
    </row>
    <row r="160" spans="1:8" s="131" customFormat="1" x14ac:dyDescent="0.55000000000000004">
      <c r="A160" s="207" t="s">
        <v>22</v>
      </c>
      <c r="B160" s="197" t="s">
        <v>50</v>
      </c>
      <c r="C160" s="198">
        <f t="shared" ref="C160:D163" si="31">+E160+G160</f>
        <v>880754800</v>
      </c>
      <c r="D160" s="201">
        <f t="shared" si="31"/>
        <v>1</v>
      </c>
      <c r="E160" s="213">
        <f>+E161+E162</f>
        <v>841500000</v>
      </c>
      <c r="F160" s="201">
        <f>+F161+F162</f>
        <v>1</v>
      </c>
      <c r="G160" s="198">
        <f>+G161+G162</f>
        <v>39254800</v>
      </c>
      <c r="H160" s="205">
        <f>+H161+H162</f>
        <v>0</v>
      </c>
    </row>
    <row r="161" spans="1:8" s="131" customFormat="1" x14ac:dyDescent="0.55000000000000004">
      <c r="A161" s="208"/>
      <c r="B161" s="211" t="s">
        <v>142</v>
      </c>
      <c r="C161" s="199">
        <f t="shared" si="31"/>
        <v>0</v>
      </c>
      <c r="D161" s="139">
        <f t="shared" si="31"/>
        <v>1</v>
      </c>
      <c r="E161" s="214">
        <f>+Sheet2!E10</f>
        <v>0</v>
      </c>
      <c r="F161" s="139">
        <v>1</v>
      </c>
      <c r="G161" s="199">
        <f>+Sheet2!M10</f>
        <v>0</v>
      </c>
      <c r="H161" s="200">
        <v>0</v>
      </c>
    </row>
    <row r="162" spans="1:8" x14ac:dyDescent="0.55000000000000004">
      <c r="A162" s="208"/>
      <c r="B162" s="211" t="s">
        <v>98</v>
      </c>
      <c r="C162" s="199">
        <f t="shared" si="31"/>
        <v>880754800</v>
      </c>
      <c r="D162" s="200">
        <f t="shared" si="31"/>
        <v>0</v>
      </c>
      <c r="E162" s="214">
        <f>+Sheet2!G10</f>
        <v>841500000</v>
      </c>
      <c r="F162" s="200">
        <v>0</v>
      </c>
      <c r="G162" s="199">
        <f>+Sheet2!O10</f>
        <v>39254800</v>
      </c>
      <c r="H162" s="200">
        <f>1-1</f>
        <v>0</v>
      </c>
    </row>
    <row r="163" spans="1:8" s="95" customFormat="1" x14ac:dyDescent="0.55000000000000004">
      <c r="A163" s="223"/>
      <c r="B163" s="216" t="s">
        <v>18</v>
      </c>
      <c r="C163" s="217">
        <f t="shared" si="31"/>
        <v>0</v>
      </c>
      <c r="D163" s="218">
        <f t="shared" si="31"/>
        <v>1</v>
      </c>
      <c r="E163" s="219">
        <f>+Sheet2!I10</f>
        <v>0</v>
      </c>
      <c r="F163" s="218">
        <v>1</v>
      </c>
      <c r="G163" s="217">
        <f>+Sheet2!Q10</f>
        <v>0</v>
      </c>
      <c r="H163" s="220">
        <v>0</v>
      </c>
    </row>
    <row r="164" spans="1:8" x14ac:dyDescent="0.55000000000000004">
      <c r="A164" s="210"/>
      <c r="B164" s="225" t="s">
        <v>96</v>
      </c>
      <c r="C164" s="226">
        <f>+C163*100/C160</f>
        <v>0</v>
      </c>
      <c r="D164" s="203"/>
      <c r="E164" s="215"/>
      <c r="F164" s="203"/>
      <c r="G164" s="202"/>
      <c r="H164" s="203"/>
    </row>
    <row r="165" spans="1:8" s="131" customFormat="1" x14ac:dyDescent="0.55000000000000004">
      <c r="A165" s="207" t="s">
        <v>42</v>
      </c>
      <c r="B165" s="197" t="s">
        <v>50</v>
      </c>
      <c r="C165" s="198">
        <f t="shared" ref="C165:D168" si="32">+E165+G165</f>
        <v>0</v>
      </c>
      <c r="D165" s="201">
        <f t="shared" si="32"/>
        <v>1</v>
      </c>
      <c r="E165" s="213">
        <f>+E166+E167</f>
        <v>0</v>
      </c>
      <c r="F165" s="201">
        <f>+F166+F167</f>
        <v>1</v>
      </c>
      <c r="G165" s="198">
        <f>+G166+G167</f>
        <v>0</v>
      </c>
      <c r="H165" s="205">
        <f>+H166+H167</f>
        <v>0</v>
      </c>
    </row>
    <row r="166" spans="1:8" s="131" customFormat="1" x14ac:dyDescent="0.55000000000000004">
      <c r="A166" s="208"/>
      <c r="B166" s="211" t="s">
        <v>142</v>
      </c>
      <c r="C166" s="199">
        <f t="shared" si="32"/>
        <v>0</v>
      </c>
      <c r="D166" s="139">
        <f t="shared" si="32"/>
        <v>1</v>
      </c>
      <c r="E166" s="214">
        <f>+Sheet2!E7</f>
        <v>0</v>
      </c>
      <c r="F166" s="139">
        <v>1</v>
      </c>
      <c r="G166" s="199">
        <f>+Sheet2!M7</f>
        <v>0</v>
      </c>
      <c r="H166" s="200">
        <v>0</v>
      </c>
    </row>
    <row r="167" spans="1:8" x14ac:dyDescent="0.55000000000000004">
      <c r="A167" s="208"/>
      <c r="B167" s="211" t="s">
        <v>98</v>
      </c>
      <c r="C167" s="199">
        <f t="shared" si="32"/>
        <v>0</v>
      </c>
      <c r="D167" s="200">
        <f t="shared" si="32"/>
        <v>0</v>
      </c>
      <c r="E167" s="214">
        <f>+Sheet2!G7</f>
        <v>0</v>
      </c>
      <c r="F167" s="200">
        <v>0</v>
      </c>
      <c r="G167" s="199">
        <f>+Sheet2!O7</f>
        <v>0</v>
      </c>
      <c r="H167" s="200">
        <v>0</v>
      </c>
    </row>
    <row r="168" spans="1:8" s="95" customFormat="1" x14ac:dyDescent="0.55000000000000004">
      <c r="A168" s="223"/>
      <c r="B168" s="216" t="s">
        <v>18</v>
      </c>
      <c r="C168" s="217">
        <f t="shared" si="32"/>
        <v>0</v>
      </c>
      <c r="D168" s="218">
        <f>+F163+H163</f>
        <v>1</v>
      </c>
      <c r="E168" s="219">
        <f>+Sheet2!I7</f>
        <v>0</v>
      </c>
      <c r="F168" s="139">
        <v>1</v>
      </c>
      <c r="G168" s="217">
        <f>+Sheet2!Q7</f>
        <v>0</v>
      </c>
      <c r="H168" s="220">
        <v>0</v>
      </c>
    </row>
    <row r="169" spans="1:8" x14ac:dyDescent="0.55000000000000004">
      <c r="A169" s="210"/>
      <c r="B169" s="225" t="s">
        <v>96</v>
      </c>
      <c r="C169" s="226" t="e">
        <f>+C168*100/C165</f>
        <v>#DIV/0!</v>
      </c>
      <c r="D169" s="203"/>
      <c r="E169" s="215"/>
      <c r="F169" s="203"/>
      <c r="G169" s="202"/>
      <c r="H169" s="203"/>
    </row>
    <row r="170" spans="1:8" s="131" customFormat="1" x14ac:dyDescent="0.55000000000000004">
      <c r="A170" s="207" t="s">
        <v>31</v>
      </c>
      <c r="B170" s="197" t="s">
        <v>50</v>
      </c>
      <c r="C170" s="198">
        <f t="shared" ref="C170:D173" si="33">+E170+G170</f>
        <v>3742700</v>
      </c>
      <c r="D170" s="201">
        <f t="shared" si="33"/>
        <v>3</v>
      </c>
      <c r="E170" s="213">
        <f>+E171+E172</f>
        <v>3742700</v>
      </c>
      <c r="F170" s="201">
        <f>+F171+F172</f>
        <v>3</v>
      </c>
      <c r="G170" s="198">
        <f>+G171+G172</f>
        <v>0</v>
      </c>
      <c r="H170" s="205">
        <f>+H171+H172</f>
        <v>0</v>
      </c>
    </row>
    <row r="171" spans="1:8" s="131" customFormat="1" x14ac:dyDescent="0.55000000000000004">
      <c r="A171" s="208"/>
      <c r="B171" s="211" t="s">
        <v>142</v>
      </c>
      <c r="C171" s="199">
        <f t="shared" si="33"/>
        <v>0</v>
      </c>
      <c r="D171" s="139">
        <f t="shared" si="33"/>
        <v>3</v>
      </c>
      <c r="E171" s="214">
        <f>+Sheet2!E8</f>
        <v>0</v>
      </c>
      <c r="F171" s="139">
        <v>3</v>
      </c>
      <c r="G171" s="199">
        <f>+Sheet2!M8</f>
        <v>0</v>
      </c>
      <c r="H171" s="200">
        <v>0</v>
      </c>
    </row>
    <row r="172" spans="1:8" x14ac:dyDescent="0.55000000000000004">
      <c r="A172" s="208"/>
      <c r="B172" s="211" t="s">
        <v>98</v>
      </c>
      <c r="C172" s="199">
        <f t="shared" si="33"/>
        <v>3742700</v>
      </c>
      <c r="D172" s="200">
        <f t="shared" si="33"/>
        <v>0</v>
      </c>
      <c r="E172" s="214">
        <f>+Sheet2!G8</f>
        <v>3742700</v>
      </c>
      <c r="F172" s="200">
        <v>0</v>
      </c>
      <c r="G172" s="199">
        <f>+Sheet2!O8</f>
        <v>0</v>
      </c>
      <c r="H172" s="200">
        <v>0</v>
      </c>
    </row>
    <row r="173" spans="1:8" s="95" customFormat="1" x14ac:dyDescent="0.55000000000000004">
      <c r="A173" s="223"/>
      <c r="B173" s="216" t="s">
        <v>18</v>
      </c>
      <c r="C173" s="217">
        <f t="shared" si="33"/>
        <v>0</v>
      </c>
      <c r="D173" s="218">
        <f t="shared" si="33"/>
        <v>3</v>
      </c>
      <c r="E173" s="219">
        <f>+Sheet2!I8</f>
        <v>0</v>
      </c>
      <c r="F173" s="218">
        <v>3</v>
      </c>
      <c r="G173" s="217">
        <f>+Sheet2!Q8</f>
        <v>0</v>
      </c>
      <c r="H173" s="220">
        <v>0</v>
      </c>
    </row>
    <row r="174" spans="1:8" x14ac:dyDescent="0.55000000000000004">
      <c r="A174" s="78"/>
      <c r="B174" s="229" t="s">
        <v>96</v>
      </c>
      <c r="C174" s="230">
        <f>+C173*100/C170</f>
        <v>0</v>
      </c>
      <c r="D174" s="231"/>
      <c r="E174" s="232"/>
      <c r="F174" s="231"/>
      <c r="G174" s="233"/>
      <c r="H174" s="231"/>
    </row>
    <row r="175" spans="1:8" s="131" customFormat="1" x14ac:dyDescent="0.55000000000000004">
      <c r="A175" s="197" t="s">
        <v>130</v>
      </c>
      <c r="B175" s="197" t="s">
        <v>50</v>
      </c>
      <c r="C175" s="198">
        <f t="shared" ref="C175:D178" si="34">+E175+G175</f>
        <v>0</v>
      </c>
      <c r="D175" s="201">
        <f t="shared" si="34"/>
        <v>1</v>
      </c>
      <c r="E175" s="213">
        <f>+E176+E177</f>
        <v>0</v>
      </c>
      <c r="F175" s="201">
        <f>+F176+F177</f>
        <v>1</v>
      </c>
      <c r="G175" s="213">
        <f>+G176+G177</f>
        <v>0</v>
      </c>
      <c r="H175" s="205">
        <f>+H176+H177</f>
        <v>0</v>
      </c>
    </row>
    <row r="176" spans="1:8" s="131" customFormat="1" x14ac:dyDescent="0.55000000000000004">
      <c r="A176" s="229"/>
      <c r="B176" s="211" t="s">
        <v>142</v>
      </c>
      <c r="C176" s="199">
        <f t="shared" si="34"/>
        <v>0</v>
      </c>
      <c r="D176" s="139">
        <f t="shared" si="34"/>
        <v>1</v>
      </c>
      <c r="E176" s="214">
        <f>+Sheet2!E15</f>
        <v>0</v>
      </c>
      <c r="F176" s="139">
        <v>1</v>
      </c>
      <c r="G176" s="214">
        <f>+Sheet2!M15</f>
        <v>0</v>
      </c>
      <c r="H176" s="200">
        <v>0</v>
      </c>
    </row>
    <row r="177" spans="1:9" x14ac:dyDescent="0.55000000000000004">
      <c r="A177" s="229"/>
      <c r="B177" s="211" t="s">
        <v>98</v>
      </c>
      <c r="C177" s="199">
        <f t="shared" si="34"/>
        <v>0</v>
      </c>
      <c r="D177" s="200">
        <f t="shared" si="34"/>
        <v>0</v>
      </c>
      <c r="E177" s="214">
        <f>+Sheet2!G15</f>
        <v>0</v>
      </c>
      <c r="F177" s="200">
        <v>0</v>
      </c>
      <c r="G177" s="214">
        <f>+Sheet2!O15</f>
        <v>0</v>
      </c>
      <c r="H177" s="200">
        <f>1-1</f>
        <v>0</v>
      </c>
    </row>
    <row r="178" spans="1:9" s="95" customFormat="1" x14ac:dyDescent="0.55000000000000004">
      <c r="A178" s="216"/>
      <c r="B178" s="216" t="s">
        <v>18</v>
      </c>
      <c r="C178" s="217">
        <f t="shared" si="34"/>
        <v>0</v>
      </c>
      <c r="D178" s="220">
        <f t="shared" si="34"/>
        <v>0</v>
      </c>
      <c r="E178" s="219">
        <f>+Sheet2!I15</f>
        <v>0</v>
      </c>
      <c r="F178" s="220">
        <v>0</v>
      </c>
      <c r="G178" s="219">
        <f>+Sheet2!Q15</f>
        <v>0</v>
      </c>
      <c r="H178" s="220">
        <v>0</v>
      </c>
    </row>
    <row r="179" spans="1:9" x14ac:dyDescent="0.55000000000000004">
      <c r="A179" s="234"/>
      <c r="B179" s="225" t="s">
        <v>96</v>
      </c>
      <c r="C179" s="226" t="e">
        <f>+C178*100/C175</f>
        <v>#DIV/0!</v>
      </c>
      <c r="D179" s="203"/>
      <c r="E179" s="215"/>
      <c r="F179" s="203"/>
      <c r="G179" s="215"/>
      <c r="H179" s="203"/>
    </row>
    <row r="189" spans="1:9" x14ac:dyDescent="0.55000000000000004">
      <c r="C189" s="37" t="e">
        <f>+C5+C10+C15+C20+C25+C30+C35+C40+C45+C50+C55+C60+C65+C70+C75+C80+C85+C90+C95+C100+C105+C110+C115+C120+C125+C130+C135+C140+C145+C150+C155+C160+C165+C170+C175</f>
        <v>#REF!</v>
      </c>
      <c r="E189" s="37" t="e">
        <f>+บช.น.!G23+ภ.4!G21+ภ.4!G22+ภ.6!G53+บช.ส.!G20+บช.ตชด.!G77+กมค.!G21+สทส.!#REF!+สทส.!#REF!+สกบ.!G89+สกบ.!G90+สกบ.!G99+สกบ.!#REF!+สง.ก.ตร.!G12+บ.ตร.!G18+บ.ตร.!G25+สงป.!G16</f>
        <v>#REF!</v>
      </c>
      <c r="G189" s="37" t="e">
        <f>+C189+E189</f>
        <v>#REF!</v>
      </c>
      <c r="I189" s="80" t="e">
        <f>+G189-สรุป!C8</f>
        <v>#REF!</v>
      </c>
    </row>
    <row r="190" spans="1:9" x14ac:dyDescent="0.55000000000000004">
      <c r="E190" s="37" t="s">
        <v>147</v>
      </c>
    </row>
  </sheetData>
  <mergeCells count="3">
    <mergeCell ref="B4:C4"/>
    <mergeCell ref="A1:H1"/>
    <mergeCell ref="A2:H2"/>
  </mergeCells>
  <pageMargins left="0.35433070866141736" right="0.23622047244094491" top="0.55118110236220474" bottom="0.27559055118110237" header="0.31496062992125984" footer="0.27559055118110237"/>
  <pageSetup paperSize="9" scale="95" orientation="portrait" r:id="rId1"/>
  <headerFooter>
    <oddHeader>&amp;L&amp;D &amp;T&amp;Rหน้า 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view="pageBreakPreview" topLeftCell="A13" zoomScaleNormal="100" zoomScaleSheetLayoutView="100" workbookViewId="0">
      <selection activeCell="I20" sqref="I20"/>
    </sheetView>
  </sheetViews>
  <sheetFormatPr defaultRowHeight="24" x14ac:dyDescent="0.55000000000000004"/>
  <cols>
    <col min="1" max="2" width="9.140625" style="55"/>
    <col min="3" max="3" width="13.85546875" style="55" customWidth="1"/>
    <col min="4" max="4" width="15.85546875" style="55" customWidth="1"/>
    <col min="5" max="5" width="9.140625" style="55"/>
    <col min="6" max="6" width="18.140625" style="55" bestFit="1" customWidth="1"/>
    <col min="7" max="8" width="9.140625" style="55"/>
    <col min="9" max="9" width="12.42578125" style="55" bestFit="1" customWidth="1"/>
    <col min="10" max="16384" width="9.140625" style="55"/>
  </cols>
  <sheetData>
    <row r="1" spans="1:6" s="38" customFormat="1" x14ac:dyDescent="0.55000000000000004">
      <c r="A1" s="36" t="s">
        <v>48</v>
      </c>
      <c r="B1" s="36"/>
      <c r="C1" s="36"/>
      <c r="D1" s="36"/>
      <c r="E1" s="37"/>
    </row>
    <row r="2" spans="1:6" s="40" customFormat="1" x14ac:dyDescent="0.55000000000000004">
      <c r="A2" s="36" t="s">
        <v>154</v>
      </c>
      <c r="B2" s="36"/>
      <c r="C2" s="36"/>
      <c r="D2" s="36"/>
      <c r="E2" s="39"/>
    </row>
    <row r="3" spans="1:6" s="42" customFormat="1" x14ac:dyDescent="0.55000000000000004">
      <c r="A3" s="754" t="s">
        <v>29</v>
      </c>
      <c r="B3" s="756"/>
      <c r="C3" s="41" t="s">
        <v>49</v>
      </c>
      <c r="D3" s="41" t="s">
        <v>50</v>
      </c>
    </row>
    <row r="4" spans="1:6" s="42" customFormat="1" ht="24.75" thickBot="1" x14ac:dyDescent="0.6">
      <c r="A4" s="818" t="s">
        <v>51</v>
      </c>
      <c r="B4" s="819"/>
      <c r="C4" s="43"/>
      <c r="D4" s="43"/>
      <c r="F4" s="103"/>
    </row>
    <row r="5" spans="1:6" s="49" customFormat="1" ht="24.75" thickTop="1" x14ac:dyDescent="0.55000000000000004">
      <c r="A5" s="44" t="s">
        <v>37</v>
      </c>
      <c r="B5" s="45"/>
      <c r="C5" s="46"/>
      <c r="D5" s="46"/>
      <c r="E5" s="47"/>
      <c r="F5" s="48"/>
    </row>
    <row r="6" spans="1:6" x14ac:dyDescent="0.55000000000000004">
      <c r="A6" s="50" t="s">
        <v>52</v>
      </c>
      <c r="B6" s="51"/>
      <c r="C6" s="52"/>
      <c r="D6" s="52"/>
      <c r="E6" s="53"/>
      <c r="F6" s="54"/>
    </row>
    <row r="7" spans="1:6" x14ac:dyDescent="0.55000000000000004">
      <c r="A7" s="50" t="s">
        <v>53</v>
      </c>
      <c r="B7" s="51"/>
      <c r="C7" s="52"/>
      <c r="D7" s="52"/>
      <c r="E7" s="53"/>
    </row>
    <row r="8" spans="1:6" x14ac:dyDescent="0.55000000000000004">
      <c r="A8" s="50" t="s">
        <v>54</v>
      </c>
      <c r="B8" s="51"/>
      <c r="C8" s="52"/>
      <c r="D8" s="52"/>
      <c r="E8" s="53"/>
    </row>
    <row r="9" spans="1:6" x14ac:dyDescent="0.55000000000000004">
      <c r="A9" s="50" t="s">
        <v>55</v>
      </c>
      <c r="B9" s="51"/>
      <c r="C9" s="52"/>
      <c r="D9" s="52"/>
      <c r="E9" s="53"/>
      <c r="F9" s="83"/>
    </row>
    <row r="10" spans="1:6" x14ac:dyDescent="0.55000000000000004">
      <c r="A10" s="56"/>
      <c r="B10" s="57"/>
      <c r="C10" s="58"/>
      <c r="D10" s="58"/>
      <c r="E10" s="53"/>
    </row>
    <row r="11" spans="1:6" s="49" customFormat="1" x14ac:dyDescent="0.55000000000000004">
      <c r="A11" s="59" t="s">
        <v>10</v>
      </c>
      <c r="B11" s="60"/>
      <c r="C11" s="61"/>
      <c r="D11" s="61"/>
      <c r="E11" s="47"/>
      <c r="F11" s="62"/>
    </row>
    <row r="12" spans="1:6" x14ac:dyDescent="0.55000000000000004">
      <c r="A12" s="50" t="s">
        <v>52</v>
      </c>
      <c r="B12" s="51"/>
      <c r="C12" s="52"/>
      <c r="D12" s="52"/>
      <c r="E12" s="53"/>
    </row>
    <row r="13" spans="1:6" x14ac:dyDescent="0.55000000000000004">
      <c r="A13" s="50" t="s">
        <v>53</v>
      </c>
      <c r="B13" s="51"/>
      <c r="C13" s="52"/>
      <c r="D13" s="52"/>
      <c r="E13" s="53"/>
    </row>
    <row r="14" spans="1:6" x14ac:dyDescent="0.55000000000000004">
      <c r="A14" s="50" t="s">
        <v>54</v>
      </c>
      <c r="B14" s="51"/>
      <c r="C14" s="52"/>
      <c r="D14" s="52"/>
      <c r="E14" s="53"/>
    </row>
    <row r="15" spans="1:6" x14ac:dyDescent="0.55000000000000004">
      <c r="A15" s="50" t="s">
        <v>55</v>
      </c>
      <c r="B15" s="51"/>
      <c r="C15" s="52"/>
      <c r="D15" s="52"/>
      <c r="E15" s="53"/>
      <c r="F15" s="102"/>
    </row>
    <row r="16" spans="1:6" x14ac:dyDescent="0.55000000000000004">
      <c r="A16" s="56"/>
      <c r="B16" s="57"/>
      <c r="C16" s="58"/>
      <c r="D16" s="58"/>
      <c r="E16" s="53"/>
    </row>
    <row r="17" spans="1:5" s="49" customFormat="1" x14ac:dyDescent="0.55000000000000004">
      <c r="A17" s="63" t="s">
        <v>56</v>
      </c>
      <c r="B17" s="64"/>
      <c r="C17" s="65"/>
      <c r="D17" s="65"/>
      <c r="E17" s="47"/>
    </row>
    <row r="18" spans="1:5" x14ac:dyDescent="0.55000000000000004">
      <c r="A18" s="50" t="s">
        <v>52</v>
      </c>
      <c r="B18" s="51"/>
      <c r="C18" s="52"/>
      <c r="D18" s="52"/>
      <c r="E18" s="53"/>
    </row>
    <row r="19" spans="1:5" x14ac:dyDescent="0.55000000000000004">
      <c r="A19" s="50" t="s">
        <v>53</v>
      </c>
      <c r="B19" s="51"/>
      <c r="C19" s="52"/>
      <c r="D19" s="52"/>
      <c r="E19" s="53"/>
    </row>
    <row r="20" spans="1:5" x14ac:dyDescent="0.55000000000000004">
      <c r="A20" s="50" t="s">
        <v>54</v>
      </c>
      <c r="B20" s="51"/>
      <c r="C20" s="52"/>
      <c r="D20" s="52"/>
      <c r="E20" s="53"/>
    </row>
    <row r="21" spans="1:5" x14ac:dyDescent="0.55000000000000004">
      <c r="A21" s="56" t="s">
        <v>55</v>
      </c>
      <c r="B21" s="57"/>
      <c r="C21" s="58"/>
      <c r="D21" s="58"/>
      <c r="E21" s="53"/>
    </row>
    <row r="22" spans="1:5" x14ac:dyDescent="0.55000000000000004">
      <c r="C22" s="68">
        <f>+C4-[5]Sheet6!$B$6</f>
        <v>-208</v>
      </c>
      <c r="D22" s="69">
        <f>+D4-[5]Sheet6!$C$6</f>
        <v>-2858391400</v>
      </c>
    </row>
    <row r="33" spans="1:9" x14ac:dyDescent="0.55000000000000004">
      <c r="A33" s="49" t="s">
        <v>37</v>
      </c>
    </row>
    <row r="34" spans="1:9" s="49" customFormat="1" x14ac:dyDescent="0.55000000000000004">
      <c r="A34" s="49" t="s">
        <v>90</v>
      </c>
      <c r="D34" s="47">
        <f>+C35+C39</f>
        <v>114000000</v>
      </c>
      <c r="E34" s="49" t="s">
        <v>3</v>
      </c>
    </row>
    <row r="35" spans="1:9" s="49" customFormat="1" x14ac:dyDescent="0.55000000000000004">
      <c r="A35" s="42" t="s">
        <v>22</v>
      </c>
      <c r="C35" s="47">
        <v>90000000</v>
      </c>
      <c r="D35" s="47" t="s">
        <v>3</v>
      </c>
    </row>
    <row r="36" spans="1:9" x14ac:dyDescent="0.55000000000000004">
      <c r="A36" s="55" t="s">
        <v>93</v>
      </c>
    </row>
    <row r="37" spans="1:9" x14ac:dyDescent="0.55000000000000004">
      <c r="A37" s="55" t="s">
        <v>57</v>
      </c>
    </row>
    <row r="39" spans="1:9" x14ac:dyDescent="0.55000000000000004">
      <c r="A39" s="42" t="s">
        <v>91</v>
      </c>
      <c r="C39" s="47">
        <v>24000000</v>
      </c>
      <c r="D39" s="49" t="s">
        <v>3</v>
      </c>
      <c r="I39" s="83">
        <f>+C39+D70</f>
        <v>37793800</v>
      </c>
    </row>
    <row r="40" spans="1:9" x14ac:dyDescent="0.55000000000000004">
      <c r="A40" s="55" t="s">
        <v>92</v>
      </c>
    </row>
    <row r="42" spans="1:9" s="49" customFormat="1" x14ac:dyDescent="0.55000000000000004">
      <c r="A42" s="49" t="s">
        <v>10</v>
      </c>
    </row>
    <row r="43" spans="1:9" s="49" customFormat="1" x14ac:dyDescent="0.55000000000000004">
      <c r="A43" s="49" t="s">
        <v>94</v>
      </c>
      <c r="D43" s="70">
        <f>+D44+D65</f>
        <v>974573500</v>
      </c>
      <c r="E43" s="49" t="s">
        <v>75</v>
      </c>
    </row>
    <row r="44" spans="1:9" s="49" customFormat="1" x14ac:dyDescent="0.55000000000000004">
      <c r="A44" s="49" t="s">
        <v>72</v>
      </c>
      <c r="D44" s="47">
        <f>+D46+D53+D57+D60</f>
        <v>948179700</v>
      </c>
      <c r="E44" s="49" t="s">
        <v>75</v>
      </c>
      <c r="F44" s="48"/>
    </row>
    <row r="45" spans="1:9" x14ac:dyDescent="0.55000000000000004">
      <c r="D45" s="66"/>
    </row>
    <row r="46" spans="1:9" x14ac:dyDescent="0.55000000000000004">
      <c r="A46" s="42" t="s">
        <v>16</v>
      </c>
      <c r="D46" s="47">
        <f>35287900+700000000</f>
        <v>735287900</v>
      </c>
      <c r="E46" s="49" t="s">
        <v>3</v>
      </c>
    </row>
    <row r="47" spans="1:9" x14ac:dyDescent="0.55000000000000004">
      <c r="A47" s="55" t="s">
        <v>73</v>
      </c>
    </row>
    <row r="48" spans="1:9" x14ac:dyDescent="0.55000000000000004">
      <c r="A48" s="55" t="s">
        <v>74</v>
      </c>
    </row>
    <row r="49" spans="1:5" x14ac:dyDescent="0.55000000000000004">
      <c r="A49" s="55" t="s">
        <v>76</v>
      </c>
    </row>
    <row r="50" spans="1:5" x14ac:dyDescent="0.55000000000000004">
      <c r="A50" s="55" t="s">
        <v>77</v>
      </c>
    </row>
    <row r="51" spans="1:5" x14ac:dyDescent="0.55000000000000004">
      <c r="A51" s="55" t="s">
        <v>78</v>
      </c>
    </row>
    <row r="53" spans="1:5" x14ac:dyDescent="0.55000000000000004">
      <c r="A53" s="42" t="s">
        <v>35</v>
      </c>
      <c r="D53" s="47">
        <v>41725000</v>
      </c>
      <c r="E53" s="49" t="s">
        <v>3</v>
      </c>
    </row>
    <row r="54" spans="1:5" x14ac:dyDescent="0.55000000000000004">
      <c r="A54" s="55" t="s">
        <v>79</v>
      </c>
    </row>
    <row r="55" spans="1:5" x14ac:dyDescent="0.55000000000000004">
      <c r="A55" s="55" t="s">
        <v>83</v>
      </c>
    </row>
    <row r="57" spans="1:5" x14ac:dyDescent="0.55000000000000004">
      <c r="A57" s="42" t="s">
        <v>28</v>
      </c>
      <c r="D57" s="47">
        <v>113341200</v>
      </c>
      <c r="E57" s="49" t="s">
        <v>3</v>
      </c>
    </row>
    <row r="58" spans="1:5" x14ac:dyDescent="0.55000000000000004">
      <c r="A58" s="55" t="s">
        <v>82</v>
      </c>
    </row>
    <row r="60" spans="1:5" x14ac:dyDescent="0.55000000000000004">
      <c r="A60" s="42" t="s">
        <v>36</v>
      </c>
      <c r="D60" s="47">
        <v>57825600</v>
      </c>
      <c r="E60" s="49" t="s">
        <v>3</v>
      </c>
    </row>
    <row r="61" spans="1:5" x14ac:dyDescent="0.55000000000000004">
      <c r="A61" s="55" t="s">
        <v>80</v>
      </c>
    </row>
    <row r="62" spans="1:5" x14ac:dyDescent="0.55000000000000004">
      <c r="A62" s="55" t="s">
        <v>81</v>
      </c>
    </row>
    <row r="65" spans="1:6" s="49" customFormat="1" x14ac:dyDescent="0.55000000000000004">
      <c r="A65" s="49" t="s">
        <v>84</v>
      </c>
      <c r="D65" s="67">
        <f>+D67+D70</f>
        <v>26393800</v>
      </c>
      <c r="E65" s="49" t="s">
        <v>75</v>
      </c>
      <c r="F65" s="48"/>
    </row>
    <row r="67" spans="1:6" s="49" customFormat="1" x14ac:dyDescent="0.55000000000000004">
      <c r="A67" s="42" t="s">
        <v>24</v>
      </c>
      <c r="D67" s="47">
        <v>12600000</v>
      </c>
      <c r="E67" s="49" t="s">
        <v>3</v>
      </c>
    </row>
    <row r="68" spans="1:6" x14ac:dyDescent="0.55000000000000004">
      <c r="A68" s="55" t="s">
        <v>85</v>
      </c>
    </row>
    <row r="70" spans="1:6" x14ac:dyDescent="0.55000000000000004">
      <c r="A70" s="42" t="s">
        <v>5</v>
      </c>
      <c r="D70" s="47">
        <f>7043800+6750000</f>
        <v>13793800</v>
      </c>
      <c r="E70" s="49" t="s">
        <v>3</v>
      </c>
    </row>
    <row r="71" spans="1:6" x14ac:dyDescent="0.55000000000000004">
      <c r="A71" s="55" t="s">
        <v>86</v>
      </c>
    </row>
    <row r="72" spans="1:6" x14ac:dyDescent="0.55000000000000004">
      <c r="A72" s="55" t="s">
        <v>89</v>
      </c>
    </row>
    <row r="73" spans="1:6" x14ac:dyDescent="0.55000000000000004">
      <c r="A73" s="55" t="s">
        <v>87</v>
      </c>
    </row>
    <row r="74" spans="1:6" x14ac:dyDescent="0.55000000000000004">
      <c r="A74" s="55" t="s">
        <v>88</v>
      </c>
    </row>
    <row r="76" spans="1:6" x14ac:dyDescent="0.55000000000000004">
      <c r="A76" s="49" t="s">
        <v>56</v>
      </c>
    </row>
    <row r="77" spans="1:6" s="49" customFormat="1" x14ac:dyDescent="0.55000000000000004">
      <c r="A77" s="49" t="s">
        <v>58</v>
      </c>
      <c r="D77" s="47">
        <v>113365200</v>
      </c>
      <c r="E77" s="49" t="s">
        <v>3</v>
      </c>
    </row>
    <row r="78" spans="1:6" s="49" customFormat="1" x14ac:dyDescent="0.55000000000000004">
      <c r="A78" s="49" t="s">
        <v>61</v>
      </c>
      <c r="D78" s="47"/>
    </row>
    <row r="79" spans="1:6" s="49" customFormat="1" x14ac:dyDescent="0.55000000000000004">
      <c r="A79" s="49" t="s">
        <v>59</v>
      </c>
      <c r="C79" s="47">
        <v>17400000</v>
      </c>
      <c r="D79" s="49" t="s">
        <v>3</v>
      </c>
    </row>
    <row r="80" spans="1:6" x14ac:dyDescent="0.55000000000000004">
      <c r="A80" s="55" t="s">
        <v>64</v>
      </c>
    </row>
    <row r="82" spans="1:4" x14ac:dyDescent="0.55000000000000004">
      <c r="A82" s="49" t="s">
        <v>60</v>
      </c>
      <c r="C82" s="47">
        <v>48900000</v>
      </c>
      <c r="D82" s="49" t="s">
        <v>3</v>
      </c>
    </row>
    <row r="83" spans="1:4" x14ac:dyDescent="0.55000000000000004">
      <c r="A83" s="55" t="s">
        <v>65</v>
      </c>
    </row>
    <row r="84" spans="1:4" x14ac:dyDescent="0.55000000000000004">
      <c r="A84" s="55" t="s">
        <v>66</v>
      </c>
    </row>
    <row r="85" spans="1:4" x14ac:dyDescent="0.55000000000000004">
      <c r="A85" s="55" t="s">
        <v>67</v>
      </c>
    </row>
    <row r="86" spans="1:4" x14ac:dyDescent="0.55000000000000004">
      <c r="A86" s="55" t="s">
        <v>68</v>
      </c>
    </row>
    <row r="87" spans="1:4" x14ac:dyDescent="0.55000000000000004">
      <c r="A87" s="55" t="s">
        <v>69</v>
      </c>
    </row>
    <row r="89" spans="1:4" x14ac:dyDescent="0.55000000000000004">
      <c r="A89" s="49" t="s">
        <v>62</v>
      </c>
      <c r="C89" s="47">
        <v>12305200</v>
      </c>
      <c r="D89" s="49" t="s">
        <v>3</v>
      </c>
    </row>
    <row r="90" spans="1:4" x14ac:dyDescent="0.55000000000000004">
      <c r="A90" s="55" t="s">
        <v>70</v>
      </c>
    </row>
    <row r="92" spans="1:4" x14ac:dyDescent="0.55000000000000004">
      <c r="A92" s="49" t="s">
        <v>63</v>
      </c>
      <c r="C92" s="47">
        <v>34760000</v>
      </c>
      <c r="D92" s="49" t="s">
        <v>3</v>
      </c>
    </row>
    <row r="93" spans="1:4" x14ac:dyDescent="0.55000000000000004">
      <c r="A93" s="55" t="s">
        <v>71</v>
      </c>
    </row>
  </sheetData>
  <mergeCells count="2">
    <mergeCell ref="A3:B3"/>
    <mergeCell ref="A4:B4"/>
  </mergeCells>
  <pageMargins left="0.70866141732283472" right="0.70866141732283472" top="0.74803149606299213" bottom="0.39370078740157483" header="0.31496062992125984" footer="0.31496062992125984"/>
  <pageSetup paperSize="9" orientation="portrait" r:id="rId1"/>
  <headerFooter>
    <oddHeader>&amp;Rหน้า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opLeftCell="A7" zoomScaleNormal="100" zoomScaleSheetLayoutView="100" workbookViewId="0">
      <selection activeCell="E17" sqref="E17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6.5703125" style="1" customWidth="1"/>
    <col min="6" max="6" width="14.5703125" style="264" customWidth="1"/>
    <col min="7" max="7" width="15.42578125" style="106" customWidth="1"/>
    <col min="8" max="8" width="15.42578125" style="106" hidden="1" customWidth="1"/>
    <col min="9" max="9" width="31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2.28515625" style="106" customWidth="1"/>
    <col min="15" max="15" width="4.5703125" style="441" customWidth="1"/>
    <col min="16" max="16" width="19.5703125" style="434" bestFit="1" customWidth="1"/>
    <col min="17" max="17" width="8.140625" style="434" customWidth="1"/>
    <col min="18" max="18" width="14.5703125" style="434" bestFit="1" customWidth="1"/>
    <col min="19" max="19" width="7.85546875" style="434" customWidth="1"/>
    <col min="20" max="20" width="14.5703125" style="434" bestFit="1" customWidth="1"/>
    <col min="21" max="29" width="9.140625" style="2"/>
    <col min="30" max="16384" width="9.140625" style="1"/>
  </cols>
  <sheetData>
    <row r="1" spans="1:40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33"/>
      <c r="R1" s="434" t="s">
        <v>524</v>
      </c>
      <c r="T1" s="434" t="s">
        <v>202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33"/>
      <c r="P2" s="435" t="s">
        <v>522</v>
      </c>
      <c r="Q2" s="434">
        <v>3</v>
      </c>
      <c r="R2" s="436" t="e">
        <f>+#REF!+#REF!+#REF!</f>
        <v>#REF!</v>
      </c>
      <c r="S2" s="436" t="s">
        <v>209</v>
      </c>
      <c r="T2" s="434" t="s">
        <v>209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5">
      <c r="A3" s="775" t="s">
        <v>149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33"/>
      <c r="P3" s="437" t="s">
        <v>523</v>
      </c>
      <c r="Q3" s="438" t="s">
        <v>209</v>
      </c>
      <c r="R3" s="439" t="s">
        <v>209</v>
      </c>
      <c r="S3" s="440">
        <v>25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  <c r="AC3" s="1"/>
    </row>
    <row r="4" spans="1:40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42" t="s">
        <v>209</v>
      </c>
      <c r="T4" s="434" t="s">
        <v>209</v>
      </c>
    </row>
    <row r="5" spans="1:40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  <c r="S5" s="444"/>
    </row>
    <row r="6" spans="1:40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  <c r="S6" s="444"/>
    </row>
    <row r="7" spans="1:40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  <c r="S7" s="444"/>
    </row>
    <row r="8" spans="1:40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  <c r="S8" s="444"/>
    </row>
    <row r="9" spans="1:40" x14ac:dyDescent="0.5">
      <c r="A9" s="12"/>
      <c r="B9" s="12"/>
      <c r="C9" s="12"/>
      <c r="D9" s="12"/>
      <c r="E9" s="32" t="s">
        <v>12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40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40" s="19" customFormat="1" x14ac:dyDescent="0.2">
      <c r="A11" s="275"/>
      <c r="B11" s="275"/>
      <c r="C11" s="517"/>
      <c r="D11" s="275"/>
      <c r="E11" s="518"/>
      <c r="F11" s="519"/>
      <c r="G11" s="34"/>
      <c r="H11" s="34"/>
      <c r="I11" s="513"/>
      <c r="J11" s="546"/>
      <c r="K11" s="547"/>
      <c r="L11" s="547"/>
      <c r="M11" s="513"/>
      <c r="N11" s="513"/>
      <c r="O11" s="464"/>
      <c r="P11" s="453"/>
      <c r="Q11" s="453"/>
      <c r="R11" s="453"/>
      <c r="S11" s="453"/>
      <c r="T11" s="453"/>
    </row>
    <row r="12" spans="1:40" s="9" customFormat="1" x14ac:dyDescent="0.2">
      <c r="A12" s="6"/>
      <c r="B12" s="13"/>
      <c r="C12" s="13"/>
      <c r="D12" s="13"/>
      <c r="E12" s="332"/>
      <c r="F12" s="334"/>
      <c r="G12" s="11"/>
      <c r="H12" s="11"/>
      <c r="I12" s="11"/>
      <c r="J12" s="11"/>
      <c r="K12" s="10"/>
      <c r="L12" s="10"/>
      <c r="M12" s="11"/>
      <c r="N12" s="11"/>
      <c r="O12" s="445"/>
      <c r="P12" s="437"/>
      <c r="Q12" s="437"/>
      <c r="R12" s="437"/>
      <c r="S12" s="437"/>
      <c r="T12" s="437"/>
    </row>
    <row r="13" spans="1:40" s="14" customFormat="1" x14ac:dyDescent="0.5">
      <c r="A13" s="241">
        <f>+A11</f>
        <v>0</v>
      </c>
      <c r="B13" s="241"/>
      <c r="C13" s="241"/>
      <c r="D13" s="241"/>
      <c r="E13" s="242" t="s">
        <v>47</v>
      </c>
      <c r="F13" s="329">
        <f>SUM(F11:F12)</f>
        <v>0</v>
      </c>
      <c r="G13" s="258">
        <f>SUM(G12:G12)</f>
        <v>0</v>
      </c>
      <c r="H13" s="258">
        <f>SUM(H12:H12)</f>
        <v>0</v>
      </c>
      <c r="I13" s="258"/>
      <c r="J13" s="258">
        <f>SUM(J12:J12)</f>
        <v>0</v>
      </c>
      <c r="K13" s="258">
        <f>SUM(K12:K12)</f>
        <v>0</v>
      </c>
      <c r="L13" s="258">
        <f>SUM(L12:L12)</f>
        <v>0</v>
      </c>
      <c r="M13" s="258"/>
      <c r="N13" s="258"/>
      <c r="O13" s="449"/>
      <c r="P13" s="450">
        <f>+F13+G13</f>
        <v>0</v>
      </c>
      <c r="Q13" s="451"/>
      <c r="R13" s="451"/>
      <c r="S13" s="452"/>
      <c r="T13" s="452"/>
    </row>
    <row r="14" spans="1:40" s="19" customFormat="1" x14ac:dyDescent="0.2">
      <c r="A14" s="17"/>
      <c r="B14" s="17"/>
      <c r="C14" s="17"/>
      <c r="D14" s="17"/>
      <c r="E14" s="30" t="s">
        <v>10</v>
      </c>
      <c r="F14" s="336"/>
      <c r="G14" s="34"/>
      <c r="H14" s="34"/>
      <c r="I14" s="34"/>
      <c r="J14" s="34"/>
      <c r="K14" s="18"/>
      <c r="L14" s="18"/>
      <c r="M14" s="34"/>
      <c r="N14" s="34"/>
      <c r="O14" s="445"/>
      <c r="P14" s="453"/>
      <c r="Q14" s="453"/>
      <c r="R14" s="453"/>
      <c r="S14" s="453"/>
      <c r="T14" s="453"/>
    </row>
    <row r="15" spans="1:40" s="19" customFormat="1" x14ac:dyDescent="0.2">
      <c r="A15" s="275"/>
      <c r="B15" s="275"/>
      <c r="C15" s="517"/>
      <c r="D15" s="275"/>
      <c r="E15" s="518"/>
      <c r="F15" s="550"/>
      <c r="G15" s="34"/>
      <c r="H15" s="34"/>
      <c r="I15" s="551"/>
      <c r="J15" s="546"/>
      <c r="K15" s="547"/>
      <c r="L15" s="547"/>
      <c r="M15" s="551"/>
      <c r="N15" s="551"/>
      <c r="O15" s="464"/>
      <c r="P15" s="453"/>
      <c r="Q15" s="453"/>
      <c r="R15" s="453"/>
      <c r="S15" s="453"/>
      <c r="T15" s="453"/>
    </row>
    <row r="16" spans="1:40" s="9" customFormat="1" x14ac:dyDescent="0.2">
      <c r="A16" s="6"/>
      <c r="B16" s="6"/>
      <c r="C16" s="6"/>
      <c r="D16" s="6"/>
      <c r="E16" s="7"/>
      <c r="F16" s="335"/>
      <c r="G16" s="11"/>
      <c r="H16" s="11"/>
      <c r="I16" s="11"/>
      <c r="J16" s="11"/>
      <c r="K16" s="10"/>
      <c r="L16" s="10"/>
      <c r="M16" s="11"/>
      <c r="N16" s="11"/>
      <c r="O16" s="445"/>
      <c r="P16" s="437"/>
      <c r="Q16" s="437"/>
      <c r="R16" s="437"/>
      <c r="S16" s="437"/>
      <c r="T16" s="437"/>
    </row>
    <row r="17" spans="1:48" s="19" customFormat="1" ht="22.5" thickBot="1" x14ac:dyDescent="0.55000000000000004">
      <c r="A17" s="244">
        <f>+A15</f>
        <v>0</v>
      </c>
      <c r="B17" s="244"/>
      <c r="C17" s="244"/>
      <c r="D17" s="244"/>
      <c r="E17" s="245" t="s">
        <v>33</v>
      </c>
      <c r="F17" s="330">
        <f>SUM(F15:F16)</f>
        <v>0</v>
      </c>
      <c r="G17" s="246">
        <f>SUM(G16:G16)</f>
        <v>0</v>
      </c>
      <c r="H17" s="246">
        <f>SUM(H16:H16)</f>
        <v>0</v>
      </c>
      <c r="I17" s="259"/>
      <c r="J17" s="259">
        <f>SUM(J16:J16)</f>
        <v>0</v>
      </c>
      <c r="K17" s="259">
        <f>SUM(K16:K16)</f>
        <v>0</v>
      </c>
      <c r="L17" s="259">
        <f>SUM(L16:L16)</f>
        <v>0</v>
      </c>
      <c r="M17" s="259"/>
      <c r="N17" s="259"/>
      <c r="O17" s="443"/>
      <c r="P17" s="455">
        <f>+F17+G17</f>
        <v>0</v>
      </c>
      <c r="Q17" s="451"/>
      <c r="R17" s="451"/>
      <c r="S17" s="452"/>
      <c r="T17" s="453"/>
    </row>
    <row r="18" spans="1:48" s="28" customFormat="1" ht="22.5" thickBot="1" x14ac:dyDescent="0.55000000000000004">
      <c r="A18" s="247">
        <f>+A13+A17</f>
        <v>0</v>
      </c>
      <c r="B18" s="248"/>
      <c r="C18" s="248"/>
      <c r="D18" s="248"/>
      <c r="E18" s="248" t="s">
        <v>175</v>
      </c>
      <c r="F18" s="331">
        <f>F13+F17</f>
        <v>0</v>
      </c>
      <c r="G18" s="310">
        <f>+G13+G17</f>
        <v>0</v>
      </c>
      <c r="H18" s="310">
        <f>+H13+H17</f>
        <v>0</v>
      </c>
      <c r="I18" s="249"/>
      <c r="J18" s="249">
        <f>J13+J17</f>
        <v>0</v>
      </c>
      <c r="K18" s="249">
        <f>K13+K17</f>
        <v>0</v>
      </c>
      <c r="L18" s="249">
        <f>L13+L17</f>
        <v>0</v>
      </c>
      <c r="M18" s="249"/>
      <c r="N18" s="249"/>
      <c r="O18" s="456"/>
      <c r="P18" s="450">
        <f>+P13+P17</f>
        <v>0</v>
      </c>
      <c r="Q18" s="457"/>
      <c r="R18" s="457"/>
      <c r="S18" s="434"/>
      <c r="T18" s="434"/>
      <c r="U18" s="2"/>
      <c r="V18" s="2"/>
      <c r="W18" s="2"/>
      <c r="X18" s="2"/>
      <c r="Y18" s="2"/>
      <c r="Z18" s="2"/>
      <c r="AA18" s="2"/>
      <c r="AB18" s="2"/>
      <c r="AC18" s="2"/>
    </row>
    <row r="19" spans="1:48" s="9" customFormat="1" x14ac:dyDescent="0.2">
      <c r="A19" s="15"/>
      <c r="B19" s="15"/>
      <c r="C19" s="15"/>
      <c r="D19" s="15"/>
      <c r="E19" s="31"/>
      <c r="F19" s="104"/>
      <c r="G19" s="20"/>
      <c r="H19" s="20"/>
      <c r="I19" s="20"/>
      <c r="J19" s="20"/>
      <c r="K19" s="104"/>
      <c r="L19" s="104"/>
      <c r="M19" s="20"/>
      <c r="N19" s="20"/>
      <c r="O19" s="445"/>
      <c r="P19" s="437"/>
      <c r="Q19" s="437"/>
      <c r="R19" s="437"/>
      <c r="S19" s="437"/>
      <c r="T19" s="437"/>
    </row>
    <row r="20" spans="1:48" s="9" customFormat="1" x14ac:dyDescent="0.5">
      <c r="A20" s="15"/>
      <c r="B20" s="15"/>
      <c r="C20" s="15"/>
      <c r="D20" s="15"/>
      <c r="E20" s="31"/>
      <c r="F20" s="261"/>
      <c r="G20" s="20"/>
      <c r="H20" s="20"/>
      <c r="I20" s="20"/>
      <c r="J20" s="20"/>
      <c r="K20" s="104"/>
      <c r="L20" s="104"/>
      <c r="M20" s="20"/>
      <c r="N20" s="20"/>
      <c r="O20" s="445"/>
      <c r="P20" s="437"/>
      <c r="Q20" s="437"/>
      <c r="R20" s="437"/>
      <c r="S20" s="437"/>
      <c r="T20" s="437"/>
    </row>
    <row r="22" spans="1:48" s="23" customFormat="1" ht="22.5" thickBot="1" x14ac:dyDescent="0.55000000000000004">
      <c r="A22" s="22"/>
      <c r="B22" s="22"/>
      <c r="C22" s="22"/>
      <c r="D22" s="22"/>
      <c r="E22" s="81" t="s">
        <v>99</v>
      </c>
      <c r="F22" s="262"/>
      <c r="G22" s="238"/>
      <c r="H22" s="125"/>
      <c r="I22" s="125"/>
      <c r="J22" s="125"/>
      <c r="K22" s="190"/>
      <c r="L22" s="190"/>
      <c r="M22" s="125"/>
      <c r="N22" s="125"/>
      <c r="O22" s="441"/>
      <c r="P22" s="434"/>
      <c r="Q22" s="434"/>
      <c r="R22" s="434"/>
      <c r="S22" s="434"/>
      <c r="T22" s="43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</row>
    <row r="23" spans="1:48" s="23" customFormat="1" ht="22.5" thickTop="1" x14ac:dyDescent="0.5">
      <c r="A23" s="22"/>
      <c r="B23" s="22"/>
      <c r="C23" s="22"/>
      <c r="D23" s="22"/>
      <c r="E23" s="23" t="s">
        <v>25</v>
      </c>
      <c r="F23" s="263"/>
      <c r="G23" s="107"/>
      <c r="H23" s="107"/>
      <c r="I23" s="107"/>
      <c r="J23" s="107"/>
      <c r="K23" s="190"/>
      <c r="L23" s="190"/>
      <c r="M23" s="107"/>
      <c r="N23" s="107"/>
      <c r="O23" s="441"/>
      <c r="P23" s="434"/>
      <c r="Q23" s="434"/>
      <c r="R23" s="434"/>
      <c r="S23" s="434"/>
      <c r="T23" s="43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</row>
    <row r="24" spans="1:48" s="23" customFormat="1" x14ac:dyDescent="0.5">
      <c r="A24" s="22"/>
      <c r="B24" s="22"/>
      <c r="C24" s="22"/>
      <c r="D24" s="22"/>
      <c r="E24" s="23" t="s">
        <v>98</v>
      </c>
      <c r="F24" s="263"/>
      <c r="G24" s="107"/>
      <c r="H24" s="107"/>
      <c r="I24" s="107"/>
      <c r="J24" s="107"/>
      <c r="K24" s="190"/>
      <c r="L24" s="190"/>
      <c r="M24" s="107"/>
      <c r="N24" s="107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</row>
    <row r="25" spans="1:48" s="23" customFormat="1" x14ac:dyDescent="0.5">
      <c r="A25" s="22"/>
      <c r="B25" s="22"/>
      <c r="C25" s="22"/>
      <c r="D25" s="22"/>
      <c r="E25" s="23" t="s">
        <v>18</v>
      </c>
      <c r="F25" s="263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</row>
  </sheetData>
  <autoFilter ref="O1:O25"/>
  <mergeCells count="21">
    <mergeCell ref="R5:R8"/>
    <mergeCell ref="K5:K8"/>
    <mergeCell ref="L5:L8"/>
    <mergeCell ref="F5:H5"/>
    <mergeCell ref="H6:H8"/>
    <mergeCell ref="Q5:Q8"/>
    <mergeCell ref="F4:G4"/>
    <mergeCell ref="G6:G8"/>
    <mergeCell ref="N5:N8"/>
    <mergeCell ref="A1:N1"/>
    <mergeCell ref="A2:N2"/>
    <mergeCell ref="A3:N3"/>
    <mergeCell ref="A5:A8"/>
    <mergeCell ref="E5:E8"/>
    <mergeCell ref="J5:J8"/>
    <mergeCell ref="C5:C8"/>
    <mergeCell ref="F6:F8"/>
    <mergeCell ref="I5:I8"/>
    <mergeCell ref="B5:B8"/>
    <mergeCell ref="D5:D8"/>
    <mergeCell ref="M5:M8"/>
  </mergeCells>
  <phoneticPr fontId="2" type="noConversion"/>
  <conditionalFormatting sqref="F11">
    <cfRule type="cellIs" dxfId="102" priority="3" stopIfTrue="1" operator="between">
      <formula>2000001</formula>
      <formula>500000000</formula>
    </cfRule>
  </conditionalFormatting>
  <conditionalFormatting sqref="F15">
    <cfRule type="cellIs" dxfId="101" priority="1" stopIfTrue="1" operator="between">
      <formula>2000001</formula>
      <formula>500000000</formula>
    </cfRule>
  </conditionalFormatting>
  <pageMargins left="0.43307086614173229" right="0.19685039370078741" top="0.43307086614173229" bottom="0.35433070866141736" header="0.27559055118110237" footer="0.15748031496062992"/>
  <pageSetup paperSize="9" scale="9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V32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4.140625" style="1" customWidth="1"/>
    <col min="6" max="6" width="15.140625" style="264" customWidth="1"/>
    <col min="7" max="7" width="15.42578125" style="106" customWidth="1"/>
    <col min="8" max="8" width="15.42578125" style="106" hidden="1" customWidth="1"/>
    <col min="9" max="9" width="33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3.140625" style="106" customWidth="1"/>
    <col min="15" max="15" width="5.140625" style="441" customWidth="1"/>
    <col min="16" max="16" width="19.5703125" style="434" bestFit="1" customWidth="1"/>
    <col min="17" max="17" width="13.85546875" style="434" bestFit="1" customWidth="1"/>
    <col min="18" max="18" width="12.42578125" style="434" bestFit="1" customWidth="1"/>
    <col min="19" max="19" width="9.140625" style="434"/>
    <col min="20" max="20" width="14.5703125" style="434" bestFit="1" customWidth="1"/>
    <col min="21" max="29" width="9.140625" style="2"/>
    <col min="30" max="16384" width="9.140625" style="1"/>
  </cols>
  <sheetData>
    <row r="1" spans="1:40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33"/>
      <c r="R1" s="434" t="s">
        <v>524</v>
      </c>
      <c r="T1" s="434" t="s">
        <v>202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33"/>
      <c r="P2" s="435" t="s">
        <v>522</v>
      </c>
      <c r="Q2" s="434">
        <v>8</v>
      </c>
      <c r="R2" s="436" t="e">
        <f>+#REF!+#REF!+#REF!+#REF!+#REF!+#REF!+#REF!+#REF!</f>
        <v>#REF!</v>
      </c>
      <c r="S2" s="436" t="s">
        <v>209</v>
      </c>
      <c r="T2" s="434" t="s">
        <v>209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33"/>
      <c r="P3" s="437" t="s">
        <v>523</v>
      </c>
      <c r="Q3" s="438" t="s">
        <v>209</v>
      </c>
      <c r="R3" s="439"/>
      <c r="S3" s="440">
        <v>18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  <c r="AC3" s="1"/>
    </row>
    <row r="4" spans="1:40" ht="21.75" customHeight="1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Q4" s="442" t="s">
        <v>209</v>
      </c>
      <c r="R4" s="442" t="s">
        <v>209</v>
      </c>
      <c r="S4" s="442" t="s">
        <v>209</v>
      </c>
      <c r="T4" s="434" t="s">
        <v>209</v>
      </c>
    </row>
    <row r="5" spans="1:40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  <c r="S5" s="444"/>
    </row>
    <row r="6" spans="1:40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  <c r="S6" s="444"/>
    </row>
    <row r="7" spans="1:40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  <c r="S7" s="444"/>
    </row>
    <row r="8" spans="1:40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  <c r="S8" s="444"/>
    </row>
    <row r="9" spans="1:40" x14ac:dyDescent="0.5">
      <c r="A9" s="12"/>
      <c r="B9" s="12"/>
      <c r="C9" s="12"/>
      <c r="D9" s="12"/>
      <c r="E9" s="32" t="s">
        <v>13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40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40" s="19" customFormat="1" ht="65.25" x14ac:dyDescent="0.2">
      <c r="A11" s="275">
        <v>1</v>
      </c>
      <c r="B11" s="275"/>
      <c r="C11" s="517" t="s">
        <v>293</v>
      </c>
      <c r="D11" s="275" t="s">
        <v>13</v>
      </c>
      <c r="E11" s="518" t="s">
        <v>343</v>
      </c>
      <c r="F11" s="298">
        <v>1311000</v>
      </c>
      <c r="G11" s="298"/>
      <c r="H11" s="298"/>
      <c r="I11" s="548" t="s">
        <v>548</v>
      </c>
      <c r="J11" s="549"/>
      <c r="K11" s="549"/>
      <c r="L11" s="549"/>
      <c r="M11" s="548" t="s">
        <v>549</v>
      </c>
      <c r="N11" s="548"/>
      <c r="O11" s="464">
        <v>1</v>
      </c>
      <c r="P11" s="453"/>
      <c r="Q11" s="453"/>
      <c r="R11" s="453"/>
      <c r="S11" s="453"/>
      <c r="T11" s="453"/>
    </row>
    <row r="12" spans="1:40" s="19" customFormat="1" ht="65.25" x14ac:dyDescent="0.2">
      <c r="A12" s="275">
        <v>2</v>
      </c>
      <c r="B12" s="275"/>
      <c r="C12" s="517" t="s">
        <v>293</v>
      </c>
      <c r="D12" s="275" t="s">
        <v>13</v>
      </c>
      <c r="E12" s="518" t="s">
        <v>344</v>
      </c>
      <c r="F12" s="298">
        <v>300000</v>
      </c>
      <c r="G12" s="298"/>
      <c r="H12" s="298"/>
      <c r="I12" s="548" t="s">
        <v>548</v>
      </c>
      <c r="J12" s="549"/>
      <c r="K12" s="549"/>
      <c r="L12" s="549"/>
      <c r="M12" s="548" t="s">
        <v>550</v>
      </c>
      <c r="N12" s="548"/>
      <c r="O12" s="464">
        <v>1</v>
      </c>
      <c r="P12" s="453"/>
      <c r="Q12" s="453"/>
      <c r="R12" s="453"/>
      <c r="S12" s="453"/>
      <c r="T12" s="453"/>
    </row>
    <row r="13" spans="1:40" s="19" customFormat="1" ht="65.25" x14ac:dyDescent="0.2">
      <c r="A13" s="275">
        <v>3</v>
      </c>
      <c r="B13" s="275"/>
      <c r="C13" s="517" t="s">
        <v>293</v>
      </c>
      <c r="D13" s="275" t="s">
        <v>13</v>
      </c>
      <c r="E13" s="518" t="s">
        <v>345</v>
      </c>
      <c r="F13" s="298">
        <v>832200</v>
      </c>
      <c r="G13" s="298"/>
      <c r="H13" s="298"/>
      <c r="I13" s="548" t="s">
        <v>548</v>
      </c>
      <c r="J13" s="549"/>
      <c r="K13" s="549"/>
      <c r="L13" s="549"/>
      <c r="M13" s="548" t="s">
        <v>550</v>
      </c>
      <c r="N13" s="548"/>
      <c r="O13" s="464">
        <v>1</v>
      </c>
      <c r="P13" s="453"/>
      <c r="Q13" s="453"/>
      <c r="R13" s="453"/>
      <c r="S13" s="453"/>
      <c r="T13" s="453"/>
    </row>
    <row r="14" spans="1:40" s="19" customFormat="1" ht="108" customHeight="1" x14ac:dyDescent="0.2">
      <c r="A14" s="275">
        <v>4</v>
      </c>
      <c r="B14" s="275" t="s">
        <v>13</v>
      </c>
      <c r="C14" s="517" t="s">
        <v>432</v>
      </c>
      <c r="D14" s="275" t="s">
        <v>13</v>
      </c>
      <c r="E14" s="518" t="s">
        <v>544</v>
      </c>
      <c r="F14" s="298">
        <v>44000</v>
      </c>
      <c r="G14" s="298"/>
      <c r="H14" s="298"/>
      <c r="I14" s="513"/>
      <c r="J14" s="546"/>
      <c r="K14" s="547"/>
      <c r="L14" s="547"/>
      <c r="M14" s="513"/>
      <c r="N14" s="513"/>
      <c r="O14" s="464"/>
      <c r="P14" s="453"/>
      <c r="Q14" s="453"/>
      <c r="R14" s="453"/>
      <c r="S14" s="453"/>
      <c r="T14" s="453"/>
    </row>
    <row r="15" spans="1:40" s="19" customFormat="1" ht="105" x14ac:dyDescent="0.2">
      <c r="A15" s="275">
        <v>5</v>
      </c>
      <c r="B15" s="275" t="s">
        <v>13</v>
      </c>
      <c r="C15" s="517" t="s">
        <v>432</v>
      </c>
      <c r="D15" s="275" t="s">
        <v>13</v>
      </c>
      <c r="E15" s="518" t="s">
        <v>545</v>
      </c>
      <c r="F15" s="298">
        <v>163200</v>
      </c>
      <c r="G15" s="298"/>
      <c r="H15" s="298"/>
      <c r="I15" s="513"/>
      <c r="J15" s="546"/>
      <c r="K15" s="547"/>
      <c r="L15" s="547"/>
      <c r="M15" s="513"/>
      <c r="N15" s="513"/>
      <c r="O15" s="464"/>
      <c r="P15" s="453"/>
      <c r="Q15" s="453"/>
      <c r="R15" s="453"/>
      <c r="S15" s="453"/>
      <c r="T15" s="453"/>
    </row>
    <row r="16" spans="1:40" s="19" customFormat="1" ht="105" x14ac:dyDescent="0.2">
      <c r="A16" s="275">
        <v>6</v>
      </c>
      <c r="B16" s="275" t="s">
        <v>13</v>
      </c>
      <c r="C16" s="517" t="s">
        <v>432</v>
      </c>
      <c r="D16" s="275" t="s">
        <v>13</v>
      </c>
      <c r="E16" s="518" t="s">
        <v>546</v>
      </c>
      <c r="F16" s="298">
        <v>184000</v>
      </c>
      <c r="G16" s="298"/>
      <c r="H16" s="298"/>
      <c r="I16" s="513"/>
      <c r="J16" s="546"/>
      <c r="K16" s="547"/>
      <c r="L16" s="547"/>
      <c r="M16" s="513"/>
      <c r="N16" s="513"/>
      <c r="O16" s="464"/>
      <c r="P16" s="453"/>
      <c r="Q16" s="453"/>
      <c r="R16" s="453"/>
      <c r="S16" s="453"/>
      <c r="T16" s="453"/>
    </row>
    <row r="17" spans="1:48" s="9" customFormat="1" x14ac:dyDescent="0.2">
      <c r="A17" s="6"/>
      <c r="B17" s="13"/>
      <c r="C17" s="13"/>
      <c r="D17" s="13"/>
      <c r="E17" s="332"/>
      <c r="F17" s="257"/>
      <c r="G17" s="11"/>
      <c r="H17" s="11"/>
      <c r="I17" s="11"/>
      <c r="J17" s="11"/>
      <c r="K17" s="10"/>
      <c r="L17" s="10"/>
      <c r="M17" s="11"/>
      <c r="N17" s="11"/>
      <c r="O17" s="445"/>
      <c r="P17" s="437"/>
      <c r="Q17" s="437"/>
      <c r="R17" s="437"/>
      <c r="S17" s="437"/>
      <c r="T17" s="437"/>
    </row>
    <row r="18" spans="1:48" s="14" customFormat="1" x14ac:dyDescent="0.5">
      <c r="A18" s="241">
        <f>+A16</f>
        <v>6</v>
      </c>
      <c r="B18" s="241"/>
      <c r="C18" s="241"/>
      <c r="D18" s="241"/>
      <c r="E18" s="242" t="s">
        <v>47</v>
      </c>
      <c r="F18" s="258">
        <f>SUM(F11:F17)</f>
        <v>2834400</v>
      </c>
      <c r="G18" s="258">
        <f>SUM(G17:G17)</f>
        <v>0</v>
      </c>
      <c r="H18" s="258">
        <f>SUM(H17:H17)</f>
        <v>0</v>
      </c>
      <c r="I18" s="258"/>
      <c r="J18" s="258">
        <f>SUM(J17:J17)</f>
        <v>0</v>
      </c>
      <c r="K18" s="258">
        <f>SUM(K17:K17)</f>
        <v>0</v>
      </c>
      <c r="L18" s="258">
        <f>SUM(L17:L17)</f>
        <v>0</v>
      </c>
      <c r="M18" s="258"/>
      <c r="N18" s="258"/>
      <c r="O18" s="449"/>
      <c r="P18" s="450">
        <f>+F18+G18</f>
        <v>2834400</v>
      </c>
      <c r="Q18" s="451"/>
      <c r="R18" s="451"/>
      <c r="S18" s="452"/>
      <c r="T18" s="452"/>
    </row>
    <row r="19" spans="1:48" s="19" customFormat="1" x14ac:dyDescent="0.2">
      <c r="A19" s="17"/>
      <c r="B19" s="17"/>
      <c r="C19" s="17"/>
      <c r="D19" s="17"/>
      <c r="E19" s="30" t="s">
        <v>10</v>
      </c>
      <c r="F19" s="34"/>
      <c r="G19" s="34"/>
      <c r="H19" s="34"/>
      <c r="I19" s="34"/>
      <c r="J19" s="34"/>
      <c r="K19" s="18"/>
      <c r="L19" s="18"/>
      <c r="M19" s="34"/>
      <c r="N19" s="34"/>
      <c r="O19" s="445"/>
      <c r="P19" s="453"/>
      <c r="Q19" s="453"/>
      <c r="R19" s="453"/>
      <c r="S19" s="453"/>
      <c r="T19" s="453"/>
    </row>
    <row r="20" spans="1:48" s="19" customFormat="1" ht="69" x14ac:dyDescent="0.2">
      <c r="A20" s="485">
        <v>1</v>
      </c>
      <c r="B20" s="485"/>
      <c r="C20" s="552" t="s">
        <v>303</v>
      </c>
      <c r="D20" s="486" t="s">
        <v>13</v>
      </c>
      <c r="E20" s="530" t="s">
        <v>358</v>
      </c>
      <c r="F20" s="488">
        <v>4109000</v>
      </c>
      <c r="G20" s="484"/>
      <c r="H20" s="484"/>
      <c r="I20" s="554" t="s">
        <v>551</v>
      </c>
      <c r="J20" s="548"/>
      <c r="K20" s="548"/>
      <c r="L20" s="548"/>
      <c r="M20" s="554" t="s">
        <v>552</v>
      </c>
      <c r="N20" s="554"/>
      <c r="O20" s="464">
        <v>2</v>
      </c>
      <c r="P20" s="453"/>
      <c r="Q20" s="453"/>
      <c r="R20" s="453"/>
      <c r="S20" s="453"/>
      <c r="T20" s="453"/>
    </row>
    <row r="21" spans="1:48" s="19" customFormat="1" ht="130.5" x14ac:dyDescent="0.2">
      <c r="A21" s="485">
        <v>2</v>
      </c>
      <c r="B21" s="485"/>
      <c r="C21" s="552" t="s">
        <v>303</v>
      </c>
      <c r="D21" s="486" t="s">
        <v>13</v>
      </c>
      <c r="E21" s="530" t="s">
        <v>357</v>
      </c>
      <c r="F21" s="488">
        <v>6000000</v>
      </c>
      <c r="G21" s="488"/>
      <c r="H21" s="488"/>
      <c r="I21" s="554" t="s">
        <v>553</v>
      </c>
      <c r="J21" s="548"/>
      <c r="K21" s="548"/>
      <c r="L21" s="548"/>
      <c r="M21" s="554" t="s">
        <v>554</v>
      </c>
      <c r="N21" s="554"/>
      <c r="O21" s="464">
        <v>2</v>
      </c>
      <c r="P21" s="453"/>
      <c r="Q21" s="453"/>
      <c r="R21" s="453"/>
      <c r="S21" s="453"/>
      <c r="T21" s="453"/>
    </row>
    <row r="22" spans="1:48" s="19" customFormat="1" ht="105" x14ac:dyDescent="0.2">
      <c r="A22" s="17">
        <v>3</v>
      </c>
      <c r="B22" s="275" t="s">
        <v>13</v>
      </c>
      <c r="C22" s="517" t="s">
        <v>543</v>
      </c>
      <c r="D22" s="275" t="s">
        <v>13</v>
      </c>
      <c r="E22" s="518" t="s">
        <v>547</v>
      </c>
      <c r="F22" s="298">
        <v>400000</v>
      </c>
      <c r="G22" s="298"/>
      <c r="H22" s="298"/>
      <c r="I22" s="548"/>
      <c r="J22" s="546"/>
      <c r="K22" s="547"/>
      <c r="L22" s="547"/>
      <c r="M22" s="548"/>
      <c r="N22" s="548"/>
      <c r="O22" s="464"/>
      <c r="P22" s="453"/>
      <c r="Q22" s="453"/>
      <c r="R22" s="453"/>
      <c r="S22" s="453"/>
      <c r="T22" s="453"/>
    </row>
    <row r="23" spans="1:48" s="9" customFormat="1" ht="21" customHeight="1" x14ac:dyDescent="0.2">
      <c r="A23" s="6"/>
      <c r="B23" s="6"/>
      <c r="C23" s="6"/>
      <c r="D23" s="6"/>
      <c r="E23" s="332"/>
      <c r="F23" s="8"/>
      <c r="G23" s="29"/>
      <c r="H23" s="29"/>
      <c r="I23" s="11"/>
      <c r="J23" s="11"/>
      <c r="K23" s="10"/>
      <c r="L23" s="10"/>
      <c r="M23" s="11"/>
      <c r="N23" s="11"/>
      <c r="O23" s="445"/>
      <c r="P23" s="437"/>
      <c r="Q23" s="437"/>
      <c r="R23" s="437"/>
      <c r="S23" s="437"/>
      <c r="T23" s="437"/>
    </row>
    <row r="24" spans="1:48" s="19" customFormat="1" ht="22.5" thickBot="1" x14ac:dyDescent="0.55000000000000004">
      <c r="A24" s="244">
        <f>+A22</f>
        <v>3</v>
      </c>
      <c r="B24" s="244"/>
      <c r="C24" s="244"/>
      <c r="D24" s="244"/>
      <c r="E24" s="245" t="s">
        <v>33</v>
      </c>
      <c r="F24" s="330">
        <f>SUM(F20:F23)</f>
        <v>10509000</v>
      </c>
      <c r="G24" s="246">
        <f>SUM(G23:G23)</f>
        <v>0</v>
      </c>
      <c r="H24" s="246">
        <f>SUM(H23:H23)</f>
        <v>0</v>
      </c>
      <c r="I24" s="259"/>
      <c r="J24" s="259">
        <f>SUM(J23:J23)</f>
        <v>0</v>
      </c>
      <c r="K24" s="259">
        <f>SUM(K23:K23)</f>
        <v>0</v>
      </c>
      <c r="L24" s="259">
        <f>SUM(L23:L23)</f>
        <v>0</v>
      </c>
      <c r="M24" s="259"/>
      <c r="N24" s="259"/>
      <c r="O24" s="458"/>
      <c r="P24" s="455">
        <f>+F24+G24</f>
        <v>10509000</v>
      </c>
      <c r="Q24" s="451"/>
      <c r="R24" s="451"/>
      <c r="S24" s="452"/>
      <c r="T24" s="453"/>
    </row>
    <row r="25" spans="1:48" s="28" customFormat="1" ht="22.5" thickBot="1" x14ac:dyDescent="0.55000000000000004">
      <c r="A25" s="247">
        <f>+A18+A24</f>
        <v>9</v>
      </c>
      <c r="B25" s="248"/>
      <c r="C25" s="248"/>
      <c r="D25" s="248"/>
      <c r="E25" s="248" t="s">
        <v>176</v>
      </c>
      <c r="F25" s="331">
        <f>F18+F24</f>
        <v>13343400</v>
      </c>
      <c r="G25" s="310">
        <f>+G18+G24</f>
        <v>0</v>
      </c>
      <c r="H25" s="310">
        <f>+H18+H24</f>
        <v>0</v>
      </c>
      <c r="I25" s="249"/>
      <c r="J25" s="249">
        <f>J18+J24</f>
        <v>0</v>
      </c>
      <c r="K25" s="249">
        <f>K18+K24</f>
        <v>0</v>
      </c>
      <c r="L25" s="249">
        <f>L18+L24</f>
        <v>0</v>
      </c>
      <c r="M25" s="249"/>
      <c r="N25" s="249"/>
      <c r="O25" s="459"/>
      <c r="P25" s="450">
        <f>+P18+P24</f>
        <v>13343400</v>
      </c>
      <c r="Q25" s="457"/>
      <c r="R25" s="457"/>
      <c r="S25" s="434"/>
      <c r="T25" s="434"/>
      <c r="U25" s="2"/>
      <c r="V25" s="2"/>
      <c r="W25" s="2"/>
      <c r="X25" s="2"/>
      <c r="Y25" s="2"/>
      <c r="Z25" s="2"/>
      <c r="AA25" s="2"/>
      <c r="AB25" s="2"/>
      <c r="AC25" s="2"/>
    </row>
    <row r="26" spans="1:48" s="9" customFormat="1" x14ac:dyDescent="0.2">
      <c r="A26" s="15"/>
      <c r="B26" s="15"/>
      <c r="C26" s="15"/>
      <c r="D26" s="15"/>
      <c r="E26" s="31"/>
      <c r="F26" s="104"/>
      <c r="G26" s="20"/>
      <c r="H26" s="20"/>
      <c r="I26" s="20"/>
      <c r="J26" s="20"/>
      <c r="K26" s="104"/>
      <c r="L26" s="104"/>
      <c r="M26" s="20"/>
      <c r="N26" s="20"/>
      <c r="O26" s="445"/>
      <c r="P26" s="437"/>
      <c r="Q26" s="437"/>
      <c r="R26" s="437"/>
      <c r="S26" s="437"/>
      <c r="T26" s="437"/>
    </row>
    <row r="27" spans="1:48" s="9" customFormat="1" x14ac:dyDescent="0.5">
      <c r="A27" s="15"/>
      <c r="B27" s="15"/>
      <c r="C27" s="15"/>
      <c r="D27" s="15"/>
      <c r="E27" s="31"/>
      <c r="F27" s="261"/>
      <c r="G27" s="20"/>
      <c r="H27" s="20"/>
      <c r="I27" s="20"/>
      <c r="J27" s="20"/>
      <c r="K27" s="104"/>
      <c r="L27" s="104"/>
      <c r="M27" s="20"/>
      <c r="N27" s="20"/>
      <c r="O27" s="445"/>
      <c r="P27" s="437"/>
      <c r="Q27" s="437"/>
      <c r="R27" s="437"/>
      <c r="S27" s="437"/>
      <c r="T27" s="437"/>
    </row>
    <row r="29" spans="1:48" s="23" customFormat="1" x14ac:dyDescent="0.5">
      <c r="A29" s="22"/>
      <c r="B29" s="22"/>
      <c r="C29" s="22"/>
      <c r="D29" s="22"/>
      <c r="E29" s="81"/>
      <c r="F29" s="277"/>
      <c r="G29" s="125"/>
      <c r="H29" s="125"/>
      <c r="I29" s="125"/>
      <c r="J29" s="125"/>
      <c r="K29" s="190"/>
      <c r="L29" s="190"/>
      <c r="M29" s="125"/>
      <c r="N29" s="125"/>
      <c r="O29" s="441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</row>
    <row r="30" spans="1:48" s="23" customFormat="1" x14ac:dyDescent="0.5">
      <c r="A30" s="22"/>
      <c r="B30" s="22"/>
      <c r="C30" s="22"/>
      <c r="D30" s="22"/>
      <c r="F30" s="263"/>
      <c r="G30" s="107"/>
      <c r="H30" s="107"/>
      <c r="I30" s="107"/>
      <c r="J30" s="107"/>
      <c r="K30" s="190"/>
      <c r="L30" s="190"/>
      <c r="M30" s="107"/>
      <c r="N30" s="107"/>
      <c r="O30" s="441"/>
      <c r="P30" s="434"/>
      <c r="Q30" s="434"/>
      <c r="R30" s="434"/>
      <c r="S30" s="434"/>
      <c r="T30" s="43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</row>
    <row r="31" spans="1:48" s="23" customFormat="1" x14ac:dyDescent="0.5">
      <c r="A31" s="22"/>
      <c r="B31" s="22"/>
      <c r="C31" s="22"/>
      <c r="D31" s="22"/>
      <c r="F31" s="263"/>
      <c r="G31" s="107"/>
      <c r="H31" s="107"/>
      <c r="I31" s="107"/>
      <c r="J31" s="107"/>
      <c r="K31" s="190"/>
      <c r="L31" s="190"/>
      <c r="M31" s="107"/>
      <c r="N31" s="107"/>
      <c r="O31" s="441"/>
      <c r="P31" s="434"/>
      <c r="Q31" s="434"/>
      <c r="R31" s="434"/>
      <c r="S31" s="434"/>
      <c r="T31" s="43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</row>
    <row r="32" spans="1:48" s="23" customFormat="1" x14ac:dyDescent="0.5">
      <c r="A32" s="22"/>
      <c r="B32" s="22"/>
      <c r="C32" s="22"/>
      <c r="D32" s="22"/>
      <c r="F32" s="263"/>
      <c r="G32" s="107"/>
      <c r="H32" s="107"/>
      <c r="I32" s="107"/>
      <c r="J32" s="107"/>
      <c r="K32" s="190"/>
      <c r="L32" s="190"/>
      <c r="M32" s="107"/>
      <c r="N32" s="107"/>
      <c r="O32" s="441"/>
      <c r="P32" s="434"/>
      <c r="Q32" s="434"/>
      <c r="R32" s="434"/>
      <c r="S32" s="434"/>
      <c r="T32" s="43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</row>
  </sheetData>
  <autoFilter ref="O1:O32"/>
  <mergeCells count="21">
    <mergeCell ref="R5:R8"/>
    <mergeCell ref="B5:B8"/>
    <mergeCell ref="D5:D8"/>
    <mergeCell ref="G6:G8"/>
    <mergeCell ref="F6:F8"/>
    <mergeCell ref="Q5:Q8"/>
    <mergeCell ref="F4:G4"/>
    <mergeCell ref="E5:E8"/>
    <mergeCell ref="N5:N8"/>
    <mergeCell ref="A1:N1"/>
    <mergeCell ref="A2:N2"/>
    <mergeCell ref="A3:N3"/>
    <mergeCell ref="M5:M8"/>
    <mergeCell ref="F5:H5"/>
    <mergeCell ref="H6:H8"/>
    <mergeCell ref="C5:C8"/>
    <mergeCell ref="A5:A8"/>
    <mergeCell ref="I5:I8"/>
    <mergeCell ref="K5:K8"/>
    <mergeCell ref="L5:L8"/>
    <mergeCell ref="J5:J8"/>
  </mergeCells>
  <phoneticPr fontId="2" type="noConversion"/>
  <conditionalFormatting sqref="F11:F16">
    <cfRule type="cellIs" dxfId="100" priority="2" stopIfTrue="1" operator="between">
      <formula>2000001</formula>
      <formula>500000000</formula>
    </cfRule>
  </conditionalFormatting>
  <conditionalFormatting sqref="F20:F22">
    <cfRule type="cellIs" dxfId="99" priority="1" stopIfTrue="1" operator="between">
      <formula>2000001</formula>
      <formula>500000000</formula>
    </cfRule>
  </conditionalFormatting>
  <pageMargins left="0.74803149606299213" right="0.27559055118110237" top="0.39370078740157483" bottom="0.39370078740157483" header="0.31496062992125984" footer="0.51181102362204722"/>
  <pageSetup paperSize="9" scale="87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29"/>
  <sheetViews>
    <sheetView zoomScale="90" zoomScaleNormal="90" zoomScaleSheetLayoutView="90" workbookViewId="0">
      <selection activeCell="A3" sqref="A3:N3"/>
    </sheetView>
  </sheetViews>
  <sheetFormatPr defaultRowHeight="21.75" x14ac:dyDescent="0.5"/>
  <cols>
    <col min="1" max="1" width="5.85546875" style="3" customWidth="1"/>
    <col min="2" max="2" width="8.5703125" style="3" customWidth="1"/>
    <col min="3" max="3" width="6.7109375" style="3" customWidth="1"/>
    <col min="4" max="4" width="8.42578125" style="3" customWidth="1"/>
    <col min="5" max="5" width="42.85546875" style="1" customWidth="1"/>
    <col min="6" max="6" width="15.140625" style="264" customWidth="1"/>
    <col min="7" max="7" width="13.5703125" style="106" customWidth="1"/>
    <col min="8" max="8" width="13.5703125" style="106" hidden="1" customWidth="1"/>
    <col min="9" max="9" width="40.5703125" style="106" hidden="1" customWidth="1"/>
    <col min="10" max="10" width="13.140625" style="106" hidden="1" customWidth="1"/>
    <col min="11" max="11" width="12.28515625" style="156" hidden="1" customWidth="1"/>
    <col min="12" max="12" width="0.28515625" style="156" hidden="1" customWidth="1"/>
    <col min="13" max="14" width="41.7109375" style="106" customWidth="1"/>
    <col min="15" max="15" width="4.7109375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33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33"/>
      <c r="P2" s="435" t="s">
        <v>522</v>
      </c>
      <c r="Q2" s="434">
        <v>4</v>
      </c>
      <c r="R2" s="436" t="e">
        <f>SUM(#REF!)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33"/>
      <c r="P3" s="437" t="s">
        <v>523</v>
      </c>
      <c r="Q3" s="438" t="s">
        <v>209</v>
      </c>
      <c r="R3" s="439" t="s">
        <v>209</v>
      </c>
      <c r="S3" s="440">
        <v>46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15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105" x14ac:dyDescent="0.2">
      <c r="A11" s="275">
        <v>1</v>
      </c>
      <c r="B11" s="275" t="s">
        <v>15</v>
      </c>
      <c r="C11" s="517" t="s">
        <v>432</v>
      </c>
      <c r="D11" s="275" t="s">
        <v>15</v>
      </c>
      <c r="E11" s="518" t="s">
        <v>544</v>
      </c>
      <c r="F11" s="298">
        <v>44000</v>
      </c>
      <c r="G11" s="298"/>
      <c r="H11" s="298"/>
      <c r="I11" s="513"/>
      <c r="J11" s="546"/>
      <c r="K11" s="547"/>
      <c r="L11" s="547"/>
      <c r="M11" s="513"/>
      <c r="N11" s="513"/>
      <c r="O11" s="464">
        <v>1</v>
      </c>
      <c r="P11" s="453"/>
      <c r="Q11" s="453"/>
      <c r="R11" s="453"/>
      <c r="S11" s="453"/>
      <c r="T11" s="453"/>
    </row>
    <row r="12" spans="1:39" s="19" customFormat="1" ht="105" x14ac:dyDescent="0.2">
      <c r="A12" s="275">
        <v>2</v>
      </c>
      <c r="B12" s="275" t="s">
        <v>15</v>
      </c>
      <c r="C12" s="517" t="s">
        <v>432</v>
      </c>
      <c r="D12" s="275" t="s">
        <v>15</v>
      </c>
      <c r="E12" s="518" t="s">
        <v>545</v>
      </c>
      <c r="F12" s="298">
        <v>163200</v>
      </c>
      <c r="G12" s="298"/>
      <c r="H12" s="298"/>
      <c r="I12" s="513"/>
      <c r="J12" s="546"/>
      <c r="K12" s="547"/>
      <c r="L12" s="547"/>
      <c r="M12" s="513"/>
      <c r="N12" s="513"/>
      <c r="O12" s="464">
        <v>1</v>
      </c>
      <c r="P12" s="453"/>
      <c r="Q12" s="453"/>
      <c r="R12" s="453"/>
      <c r="S12" s="453"/>
      <c r="T12" s="453"/>
    </row>
    <row r="13" spans="1:39" s="19" customFormat="1" ht="42" customHeight="1" x14ac:dyDescent="0.2">
      <c r="A13" s="275">
        <v>3</v>
      </c>
      <c r="B13" s="275" t="s">
        <v>15</v>
      </c>
      <c r="C13" s="517" t="s">
        <v>432</v>
      </c>
      <c r="D13" s="275" t="s">
        <v>15</v>
      </c>
      <c r="E13" s="518" t="s">
        <v>546</v>
      </c>
      <c r="F13" s="519">
        <v>184000</v>
      </c>
      <c r="G13" s="555"/>
      <c r="H13" s="555"/>
      <c r="I13" s="513"/>
      <c r="J13" s="546"/>
      <c r="K13" s="547"/>
      <c r="L13" s="547"/>
      <c r="M13" s="513"/>
      <c r="N13" s="513"/>
      <c r="O13" s="464">
        <v>1</v>
      </c>
      <c r="P13" s="453"/>
      <c r="Q13" s="453"/>
      <c r="R13" s="453"/>
      <c r="S13" s="453"/>
      <c r="T13" s="453"/>
    </row>
    <row r="14" spans="1:39" s="9" customFormat="1" ht="23.25" customHeight="1" x14ac:dyDescent="0.2">
      <c r="A14" s="6"/>
      <c r="B14" s="13"/>
      <c r="C14" s="13"/>
      <c r="D14" s="13"/>
      <c r="E14" s="7"/>
      <c r="F14" s="257"/>
      <c r="G14" s="11"/>
      <c r="H14" s="11"/>
      <c r="I14" s="11"/>
      <c r="J14" s="11"/>
      <c r="K14" s="10"/>
      <c r="L14" s="10"/>
      <c r="M14" s="11"/>
      <c r="N14" s="11"/>
      <c r="O14" s="445"/>
      <c r="P14" s="437"/>
      <c r="Q14" s="437"/>
      <c r="R14" s="437"/>
      <c r="S14" s="437"/>
      <c r="T14" s="437"/>
    </row>
    <row r="15" spans="1:39" s="14" customFormat="1" x14ac:dyDescent="0.5">
      <c r="A15" s="241">
        <f>+A13</f>
        <v>3</v>
      </c>
      <c r="B15" s="241"/>
      <c r="C15" s="241"/>
      <c r="D15" s="241"/>
      <c r="E15" s="242" t="s">
        <v>47</v>
      </c>
      <c r="F15" s="258">
        <f>SUM(F11:F14)</f>
        <v>391200</v>
      </c>
      <c r="G15" s="243">
        <f>SUM(G14:G14)</f>
        <v>0</v>
      </c>
      <c r="H15" s="243">
        <f>SUM(H14:H14)</f>
        <v>0</v>
      </c>
      <c r="I15" s="258"/>
      <c r="J15" s="258">
        <f>SUM(J14:J14)</f>
        <v>0</v>
      </c>
      <c r="K15" s="258">
        <f>SUM(K14:K14)</f>
        <v>0</v>
      </c>
      <c r="L15" s="258">
        <f>SUM(L14:L14)</f>
        <v>0</v>
      </c>
      <c r="M15" s="258"/>
      <c r="N15" s="258"/>
      <c r="O15" s="449"/>
      <c r="P15" s="450">
        <f>+F15+G15</f>
        <v>391200</v>
      </c>
      <c r="Q15" s="451"/>
      <c r="R15" s="451"/>
      <c r="S15" s="452"/>
      <c r="T15" s="452"/>
    </row>
    <row r="16" spans="1:39" s="19" customFormat="1" x14ac:dyDescent="0.2">
      <c r="A16" s="17"/>
      <c r="B16" s="17"/>
      <c r="C16" s="17"/>
      <c r="D16" s="17"/>
      <c r="E16" s="30" t="s">
        <v>10</v>
      </c>
      <c r="F16" s="34"/>
      <c r="G16" s="34"/>
      <c r="H16" s="34"/>
      <c r="I16" s="34"/>
      <c r="J16" s="34"/>
      <c r="K16" s="18"/>
      <c r="L16" s="18"/>
      <c r="M16" s="34"/>
      <c r="N16" s="34"/>
      <c r="O16" s="445"/>
      <c r="P16" s="453"/>
      <c r="Q16" s="453"/>
      <c r="R16" s="453"/>
      <c r="S16" s="453"/>
      <c r="T16" s="453"/>
    </row>
    <row r="17" spans="1:47" s="19" customFormat="1" ht="69" x14ac:dyDescent="0.2">
      <c r="A17" s="486">
        <v>1</v>
      </c>
      <c r="B17" s="486"/>
      <c r="C17" s="552" t="s">
        <v>303</v>
      </c>
      <c r="D17" s="486" t="s">
        <v>15</v>
      </c>
      <c r="E17" s="530" t="s">
        <v>318</v>
      </c>
      <c r="F17" s="488">
        <v>10518100</v>
      </c>
      <c r="G17" s="556"/>
      <c r="H17" s="556"/>
      <c r="I17" s="554" t="s">
        <v>553</v>
      </c>
      <c r="J17" s="557"/>
      <c r="K17" s="547"/>
      <c r="L17" s="547"/>
      <c r="M17" s="554" t="s">
        <v>555</v>
      </c>
      <c r="N17" s="554"/>
      <c r="O17" s="464">
        <v>2</v>
      </c>
      <c r="P17" s="453"/>
      <c r="Q17" s="453"/>
      <c r="R17" s="453"/>
      <c r="S17" s="453"/>
      <c r="T17" s="453"/>
    </row>
    <row r="18" spans="1:47" s="19" customFormat="1" ht="45" x14ac:dyDescent="0.2">
      <c r="A18" s="486">
        <v>2</v>
      </c>
      <c r="B18" s="486"/>
      <c r="C18" s="558" t="s">
        <v>320</v>
      </c>
      <c r="D18" s="486" t="s">
        <v>15</v>
      </c>
      <c r="E18" s="530" t="s">
        <v>319</v>
      </c>
      <c r="F18" s="488">
        <v>3200000</v>
      </c>
      <c r="G18" s="556"/>
      <c r="H18" s="556"/>
      <c r="I18" s="554" t="s">
        <v>553</v>
      </c>
      <c r="J18" s="557"/>
      <c r="K18" s="547"/>
      <c r="L18" s="547"/>
      <c r="M18" s="554" t="s">
        <v>555</v>
      </c>
      <c r="N18" s="554"/>
      <c r="O18" s="464">
        <v>2</v>
      </c>
      <c r="P18" s="453"/>
      <c r="Q18" s="453"/>
      <c r="R18" s="453"/>
      <c r="S18" s="453"/>
      <c r="T18" s="453"/>
    </row>
    <row r="19" spans="1:47" s="19" customFormat="1" ht="105" x14ac:dyDescent="0.2">
      <c r="A19" s="275">
        <v>3</v>
      </c>
      <c r="B19" s="275" t="s">
        <v>15</v>
      </c>
      <c r="C19" s="517" t="s">
        <v>543</v>
      </c>
      <c r="D19" s="275" t="s">
        <v>15</v>
      </c>
      <c r="E19" s="518" t="s">
        <v>547</v>
      </c>
      <c r="F19" s="298">
        <v>400000</v>
      </c>
      <c r="G19" s="559"/>
      <c r="H19" s="559"/>
      <c r="I19" s="548"/>
      <c r="J19" s="557"/>
      <c r="K19" s="547"/>
      <c r="L19" s="547"/>
      <c r="M19" s="548"/>
      <c r="N19" s="548"/>
      <c r="O19" s="464"/>
      <c r="P19" s="453"/>
      <c r="Q19" s="453"/>
      <c r="R19" s="453"/>
      <c r="S19" s="453"/>
      <c r="T19" s="453"/>
    </row>
    <row r="20" spans="1:47" s="9" customFormat="1" x14ac:dyDescent="0.2">
      <c r="A20" s="6"/>
      <c r="B20" s="6"/>
      <c r="C20" s="6"/>
      <c r="D20" s="6"/>
      <c r="E20" s="7"/>
      <c r="F20" s="10"/>
      <c r="G20" s="11"/>
      <c r="H20" s="11"/>
      <c r="I20" s="11"/>
      <c r="J20" s="11"/>
      <c r="K20" s="10"/>
      <c r="L20" s="10"/>
      <c r="M20" s="11"/>
      <c r="N20" s="11"/>
      <c r="O20" s="445"/>
      <c r="P20" s="437"/>
      <c r="Q20" s="437"/>
      <c r="R20" s="437"/>
      <c r="S20" s="437"/>
      <c r="T20" s="437"/>
    </row>
    <row r="21" spans="1:47" s="19" customFormat="1" ht="22.5" thickBot="1" x14ac:dyDescent="0.55000000000000004">
      <c r="A21" s="244">
        <f>+A19</f>
        <v>3</v>
      </c>
      <c r="B21" s="244"/>
      <c r="C21" s="244"/>
      <c r="D21" s="244"/>
      <c r="E21" s="245" t="s">
        <v>33</v>
      </c>
      <c r="F21" s="358">
        <f>SUM(F17:F20)</f>
        <v>14118100</v>
      </c>
      <c r="G21" s="246">
        <f>SUM(G20:G20)</f>
        <v>0</v>
      </c>
      <c r="H21" s="246">
        <f>SUM(H20:H20)</f>
        <v>0</v>
      </c>
      <c r="I21" s="259"/>
      <c r="J21" s="259">
        <f>SUM(J20:J20)</f>
        <v>0</v>
      </c>
      <c r="K21" s="259">
        <f>SUM(K20:K20)</f>
        <v>0</v>
      </c>
      <c r="L21" s="259">
        <f>SUM(L20:L20)</f>
        <v>0</v>
      </c>
      <c r="M21" s="259"/>
      <c r="N21" s="259"/>
      <c r="O21" s="443"/>
      <c r="P21" s="455">
        <f>+F21+G21</f>
        <v>14118100</v>
      </c>
      <c r="Q21" s="451"/>
      <c r="R21" s="451"/>
      <c r="S21" s="453"/>
      <c r="T21" s="453"/>
    </row>
    <row r="22" spans="1:47" s="28" customFormat="1" ht="22.5" thickBot="1" x14ac:dyDescent="0.55000000000000004">
      <c r="A22" s="247">
        <f>+A15+A21</f>
        <v>6</v>
      </c>
      <c r="B22" s="248"/>
      <c r="C22" s="248"/>
      <c r="D22" s="248"/>
      <c r="E22" s="248" t="s">
        <v>177</v>
      </c>
      <c r="F22" s="331">
        <f>F15+F21</f>
        <v>14509300</v>
      </c>
      <c r="G22" s="310">
        <f>+G15+G21</f>
        <v>0</v>
      </c>
      <c r="H22" s="310">
        <f>+H15+H21</f>
        <v>0</v>
      </c>
      <c r="I22" s="249"/>
      <c r="J22" s="249">
        <f>J15+J21</f>
        <v>0</v>
      </c>
      <c r="K22" s="249">
        <f>K15+K21</f>
        <v>0</v>
      </c>
      <c r="L22" s="249">
        <f>L15+L21</f>
        <v>0</v>
      </c>
      <c r="M22" s="249"/>
      <c r="N22" s="249"/>
      <c r="O22" s="456"/>
      <c r="P22" s="450">
        <f>+P15+P21</f>
        <v>14509300</v>
      </c>
      <c r="Q22" s="457"/>
      <c r="R22" s="457"/>
      <c r="S22" s="434"/>
      <c r="T22" s="434"/>
      <c r="U22" s="2"/>
      <c r="V22" s="2"/>
      <c r="W22" s="2"/>
      <c r="X22" s="2"/>
      <c r="Y22" s="2"/>
      <c r="Z22" s="2"/>
      <c r="AA22" s="2"/>
      <c r="AB22" s="2"/>
    </row>
    <row r="23" spans="1:47" s="9" customFormat="1" x14ac:dyDescent="0.2">
      <c r="A23" s="15"/>
      <c r="B23" s="15"/>
      <c r="C23" s="15"/>
      <c r="D23" s="15"/>
      <c r="E23" s="31"/>
      <c r="F23" s="104"/>
      <c r="G23" s="20"/>
      <c r="H23" s="20"/>
      <c r="I23" s="20"/>
      <c r="J23" s="20"/>
      <c r="K23" s="104"/>
      <c r="L23" s="104"/>
      <c r="M23" s="20"/>
      <c r="N23" s="20"/>
      <c r="O23" s="445"/>
      <c r="P23" s="437"/>
      <c r="Q23" s="437"/>
      <c r="R23" s="437"/>
      <c r="S23" s="437"/>
      <c r="T23" s="437"/>
    </row>
    <row r="24" spans="1:47" s="9" customFormat="1" x14ac:dyDescent="0.5">
      <c r="A24" s="15"/>
      <c r="B24" s="15"/>
      <c r="C24" s="15"/>
      <c r="D24" s="15"/>
      <c r="E24" s="31"/>
      <c r="F24" s="261"/>
      <c r="G24" s="20"/>
      <c r="H24" s="20"/>
      <c r="I24" s="20"/>
      <c r="J24" s="20"/>
      <c r="K24" s="104"/>
      <c r="L24" s="104"/>
      <c r="M24" s="20"/>
      <c r="N24" s="20"/>
      <c r="O24" s="445"/>
      <c r="P24" s="437"/>
      <c r="Q24" s="437"/>
      <c r="R24" s="437"/>
      <c r="S24" s="437"/>
      <c r="T24" s="437"/>
    </row>
    <row r="26" spans="1:47" s="23" customFormat="1" x14ac:dyDescent="0.5">
      <c r="A26" s="22"/>
      <c r="B26" s="22"/>
      <c r="C26" s="22"/>
      <c r="D26" s="22"/>
      <c r="E26" s="81"/>
      <c r="F26" s="277"/>
      <c r="G26" s="125"/>
      <c r="H26" s="125"/>
      <c r="I26" s="125"/>
      <c r="J26" s="125"/>
      <c r="K26" s="190"/>
      <c r="L26" s="190"/>
      <c r="M26" s="125"/>
      <c r="N26" s="125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s="23" customFormat="1" x14ac:dyDescent="0.5">
      <c r="A27" s="22"/>
      <c r="B27" s="22"/>
      <c r="C27" s="22"/>
      <c r="D27" s="22"/>
      <c r="F27" s="263"/>
      <c r="G27" s="107"/>
      <c r="H27" s="107"/>
      <c r="I27" s="107"/>
      <c r="J27" s="107"/>
      <c r="K27" s="190"/>
      <c r="L27" s="190"/>
      <c r="M27" s="107"/>
      <c r="N27" s="107"/>
      <c r="O27" s="441"/>
      <c r="P27" s="434"/>
      <c r="Q27" s="434"/>
      <c r="R27" s="434"/>
      <c r="S27" s="434"/>
      <c r="T27" s="43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s="23" customFormat="1" x14ac:dyDescent="0.5">
      <c r="A28" s="22"/>
      <c r="B28" s="22"/>
      <c r="C28" s="22"/>
      <c r="D28" s="22"/>
      <c r="F28" s="263"/>
      <c r="G28" s="107"/>
      <c r="H28" s="107"/>
      <c r="I28" s="107"/>
      <c r="J28" s="107"/>
      <c r="K28" s="190"/>
      <c r="L28" s="190"/>
      <c r="M28" s="107"/>
      <c r="N28" s="107"/>
      <c r="O28" s="441"/>
      <c r="P28" s="434"/>
      <c r="Q28" s="434"/>
      <c r="R28" s="434"/>
      <c r="S28" s="434"/>
      <c r="T28" s="43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</row>
    <row r="29" spans="1:47" s="23" customFormat="1" x14ac:dyDescent="0.5">
      <c r="A29" s="22"/>
      <c r="B29" s="22"/>
      <c r="C29" s="22"/>
      <c r="D29" s="22"/>
      <c r="F29" s="263"/>
      <c r="G29" s="107"/>
      <c r="H29" s="107"/>
      <c r="I29" s="107"/>
      <c r="J29" s="107"/>
      <c r="K29" s="190"/>
      <c r="L29" s="190"/>
      <c r="M29" s="107"/>
      <c r="N29" s="107"/>
      <c r="O29" s="441"/>
      <c r="P29" s="434"/>
      <c r="Q29" s="434"/>
      <c r="R29" s="434"/>
      <c r="S29" s="434"/>
      <c r="T29" s="43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</sheetData>
  <autoFilter ref="O1:O29"/>
  <mergeCells count="21">
    <mergeCell ref="E5:E8"/>
    <mergeCell ref="G6:G8"/>
    <mergeCell ref="F5:H5"/>
    <mergeCell ref="I5:I8"/>
    <mergeCell ref="H6:H8"/>
    <mergeCell ref="A1:N1"/>
    <mergeCell ref="A2:N2"/>
    <mergeCell ref="A3:N3"/>
    <mergeCell ref="Q5:Q8"/>
    <mergeCell ref="R5:R8"/>
    <mergeCell ref="A5:A8"/>
    <mergeCell ref="J5:J8"/>
    <mergeCell ref="C5:C8"/>
    <mergeCell ref="B5:B8"/>
    <mergeCell ref="D5:D8"/>
    <mergeCell ref="M5:M8"/>
    <mergeCell ref="K5:K8"/>
    <mergeCell ref="L5:L8"/>
    <mergeCell ref="F6:F8"/>
    <mergeCell ref="N5:N8"/>
    <mergeCell ref="F4:G4"/>
  </mergeCells>
  <phoneticPr fontId="2" type="noConversion"/>
  <conditionalFormatting sqref="F11:F13">
    <cfRule type="cellIs" dxfId="98" priority="3" stopIfTrue="1" operator="between">
      <formula>2000001</formula>
      <formula>500000000</formula>
    </cfRule>
  </conditionalFormatting>
  <conditionalFormatting sqref="F17:F18">
    <cfRule type="cellIs" dxfId="97" priority="2" stopIfTrue="1" operator="between">
      <formula>2000001</formula>
      <formula>500000000</formula>
    </cfRule>
  </conditionalFormatting>
  <conditionalFormatting sqref="F19">
    <cfRule type="cellIs" dxfId="96" priority="1" stopIfTrue="1" operator="between">
      <formula>2000001</formula>
      <formula>500000000</formula>
    </cfRule>
  </conditionalFormatting>
  <pageMargins left="0.62992125984251968" right="0.47244094488188981" top="0.25" bottom="0.25" header="0.17" footer="0.16"/>
  <pageSetup paperSize="9" scale="8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27"/>
  <sheetViews>
    <sheetView zoomScale="90" zoomScaleNormal="9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2" width="6.7109375" style="3" customWidth="1"/>
    <col min="3" max="3" width="8.28515625" style="3" customWidth="1"/>
    <col min="4" max="4" width="8.42578125" style="3" customWidth="1"/>
    <col min="5" max="5" width="51.140625" style="1" customWidth="1"/>
    <col min="6" max="6" width="16.28515625" style="264" customWidth="1"/>
    <col min="7" max="7" width="14" style="106" customWidth="1"/>
    <col min="8" max="8" width="14" style="106" hidden="1" customWidth="1"/>
    <col min="9" max="9" width="35.140625" style="106" hidden="1" customWidth="1"/>
    <col min="10" max="10" width="13.140625" style="106" hidden="1" customWidth="1"/>
    <col min="11" max="11" width="12.28515625" style="156" hidden="1" customWidth="1"/>
    <col min="12" max="12" width="14.28515625" style="156" hidden="1" customWidth="1"/>
    <col min="13" max="14" width="35.42578125" style="106" customWidth="1"/>
    <col min="15" max="15" width="4.42578125" style="441" customWidth="1"/>
    <col min="16" max="16" width="19.5703125" style="434" bestFit="1" customWidth="1"/>
    <col min="17" max="17" width="9.140625" style="434"/>
    <col min="18" max="18" width="12.42578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33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33"/>
      <c r="P2" s="435" t="s">
        <v>522</v>
      </c>
      <c r="Q2" s="434">
        <v>6</v>
      </c>
      <c r="R2" s="436" t="e">
        <f>SUM(#REF!)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33"/>
      <c r="P3" s="437" t="s">
        <v>523</v>
      </c>
      <c r="Q3" s="438" t="s">
        <v>209</v>
      </c>
      <c r="R3" s="439" t="s">
        <v>209</v>
      </c>
      <c r="S3" s="440">
        <v>24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67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68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68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69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9</v>
      </c>
      <c r="F9" s="256"/>
      <c r="G9" s="105"/>
      <c r="H9" s="105"/>
      <c r="I9" s="105"/>
      <c r="J9" s="105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11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19" customFormat="1" ht="83.25" customHeight="1" x14ac:dyDescent="0.2">
      <c r="A11" s="275">
        <v>1</v>
      </c>
      <c r="B11" s="377" t="s">
        <v>9</v>
      </c>
      <c r="C11" s="517" t="s">
        <v>432</v>
      </c>
      <c r="D11" s="377" t="s">
        <v>9</v>
      </c>
      <c r="E11" s="518" t="s">
        <v>544</v>
      </c>
      <c r="F11" s="563">
        <v>66000</v>
      </c>
      <c r="G11" s="564"/>
      <c r="H11" s="564"/>
      <c r="I11" s="513"/>
      <c r="J11" s="546"/>
      <c r="K11" s="547"/>
      <c r="L11" s="547"/>
      <c r="M11" s="513"/>
      <c r="N11" s="513"/>
      <c r="O11" s="464"/>
      <c r="P11" s="453"/>
      <c r="Q11" s="453"/>
      <c r="R11" s="453"/>
      <c r="S11" s="453"/>
      <c r="T11" s="453"/>
    </row>
    <row r="12" spans="1:39" s="19" customFormat="1" ht="83.25" customHeight="1" x14ac:dyDescent="0.2">
      <c r="A12" s="275">
        <v>2</v>
      </c>
      <c r="B12" s="377" t="s">
        <v>9</v>
      </c>
      <c r="C12" s="517" t="s">
        <v>432</v>
      </c>
      <c r="D12" s="377" t="s">
        <v>9</v>
      </c>
      <c r="E12" s="518" t="s">
        <v>545</v>
      </c>
      <c r="F12" s="563">
        <v>244800</v>
      </c>
      <c r="G12" s="564"/>
      <c r="H12" s="564"/>
      <c r="I12" s="513"/>
      <c r="J12" s="546"/>
      <c r="K12" s="547"/>
      <c r="L12" s="547"/>
      <c r="M12" s="513"/>
      <c r="N12" s="513"/>
      <c r="O12" s="464"/>
      <c r="P12" s="453"/>
      <c r="Q12" s="453"/>
      <c r="R12" s="453"/>
      <c r="S12" s="453"/>
      <c r="T12" s="453"/>
    </row>
    <row r="13" spans="1:39" s="19" customFormat="1" ht="83.25" customHeight="1" x14ac:dyDescent="0.2">
      <c r="A13" s="275">
        <v>3</v>
      </c>
      <c r="B13" s="377" t="s">
        <v>9</v>
      </c>
      <c r="C13" s="517" t="s">
        <v>432</v>
      </c>
      <c r="D13" s="377" t="s">
        <v>9</v>
      </c>
      <c r="E13" s="518" t="s">
        <v>546</v>
      </c>
      <c r="F13" s="563">
        <v>276000</v>
      </c>
      <c r="G13" s="564"/>
      <c r="H13" s="564"/>
      <c r="I13" s="513"/>
      <c r="J13" s="546"/>
      <c r="K13" s="547"/>
      <c r="L13" s="547"/>
      <c r="M13" s="513"/>
      <c r="N13" s="513"/>
      <c r="O13" s="464"/>
      <c r="P13" s="453"/>
      <c r="Q13" s="453"/>
      <c r="R13" s="453"/>
      <c r="S13" s="453"/>
      <c r="T13" s="453"/>
    </row>
    <row r="14" spans="1:39" s="9" customFormat="1" ht="28.5" customHeight="1" x14ac:dyDescent="0.2">
      <c r="A14" s="6"/>
      <c r="B14" s="276"/>
      <c r="C14" s="271"/>
      <c r="D14" s="276"/>
      <c r="E14" s="7"/>
      <c r="F14" s="257"/>
      <c r="G14" s="29"/>
      <c r="H14" s="29"/>
      <c r="I14" s="11"/>
      <c r="J14" s="11"/>
      <c r="K14" s="10"/>
      <c r="L14" s="10"/>
      <c r="M14" s="11"/>
      <c r="N14" s="11"/>
      <c r="O14" s="445"/>
      <c r="P14" s="437"/>
      <c r="Q14" s="437"/>
      <c r="R14" s="437"/>
      <c r="S14" s="437"/>
      <c r="T14" s="437"/>
    </row>
    <row r="15" spans="1:39" s="14" customFormat="1" x14ac:dyDescent="0.5">
      <c r="A15" s="241">
        <f>+A13</f>
        <v>3</v>
      </c>
      <c r="B15" s="241"/>
      <c r="C15" s="241"/>
      <c r="D15" s="241"/>
      <c r="E15" s="242" t="s">
        <v>47</v>
      </c>
      <c r="F15" s="258">
        <f>SUM(F11:F14)</f>
        <v>586800</v>
      </c>
      <c r="G15" s="258">
        <f>SUM(G11:G14)</f>
        <v>0</v>
      </c>
      <c r="H15" s="243" t="e">
        <f>SUM(#REF!)</f>
        <v>#REF!</v>
      </c>
      <c r="I15" s="258"/>
      <c r="J15" s="258" t="e">
        <f>SUM(#REF!)</f>
        <v>#REF!</v>
      </c>
      <c r="K15" s="258" t="e">
        <f>SUM(#REF!)</f>
        <v>#REF!</v>
      </c>
      <c r="L15" s="258" t="e">
        <f>SUM(#REF!)</f>
        <v>#REF!</v>
      </c>
      <c r="M15" s="258"/>
      <c r="N15" s="258"/>
      <c r="O15" s="449"/>
      <c r="P15" s="450">
        <f>+F15+G15</f>
        <v>586800</v>
      </c>
      <c r="Q15" s="451"/>
      <c r="R15" s="451"/>
      <c r="S15" s="452"/>
      <c r="T15" s="452"/>
    </row>
    <row r="16" spans="1:39" s="19" customFormat="1" x14ac:dyDescent="0.2">
      <c r="A16" s="17"/>
      <c r="B16" s="17"/>
      <c r="C16" s="17"/>
      <c r="D16" s="17"/>
      <c r="E16" s="30" t="s">
        <v>10</v>
      </c>
      <c r="F16" s="34"/>
      <c r="G16" s="34"/>
      <c r="H16" s="34"/>
      <c r="I16" s="34"/>
      <c r="J16" s="34"/>
      <c r="K16" s="18"/>
      <c r="L16" s="18"/>
      <c r="M16" s="34"/>
      <c r="N16" s="34"/>
      <c r="O16" s="445"/>
      <c r="P16" s="453"/>
      <c r="Q16" s="453"/>
      <c r="R16" s="453"/>
      <c r="S16" s="453"/>
      <c r="T16" s="453"/>
    </row>
    <row r="17" spans="1:47" s="19" customFormat="1" ht="90" x14ac:dyDescent="0.2">
      <c r="A17" s="275">
        <v>1</v>
      </c>
      <c r="B17" s="377" t="s">
        <v>9</v>
      </c>
      <c r="C17" s="517" t="s">
        <v>543</v>
      </c>
      <c r="D17" s="377" t="s">
        <v>9</v>
      </c>
      <c r="E17" s="518" t="s">
        <v>547</v>
      </c>
      <c r="F17" s="561">
        <v>600000</v>
      </c>
      <c r="G17" s="564"/>
      <c r="H17" s="564"/>
      <c r="I17" s="513"/>
      <c r="J17" s="565"/>
      <c r="K17" s="547"/>
      <c r="L17" s="547"/>
      <c r="M17" s="513"/>
      <c r="N17" s="513"/>
      <c r="O17" s="464">
        <v>2</v>
      </c>
      <c r="P17" s="453"/>
      <c r="Q17" s="453"/>
      <c r="R17" s="453"/>
      <c r="S17" s="453"/>
      <c r="T17" s="453"/>
    </row>
    <row r="18" spans="1:47" s="9" customFormat="1" ht="24" customHeight="1" x14ac:dyDescent="0.8">
      <c r="A18" s="6"/>
      <c r="B18" s="6"/>
      <c r="C18" s="6"/>
      <c r="D18" s="6"/>
      <c r="E18" s="7"/>
      <c r="F18" s="10"/>
      <c r="G18" s="29"/>
      <c r="H18" s="29"/>
      <c r="I18" s="11"/>
      <c r="J18" s="313" t="s">
        <v>199</v>
      </c>
      <c r="K18" s="10"/>
      <c r="L18" s="10"/>
      <c r="M18" s="11"/>
      <c r="N18" s="11"/>
      <c r="O18" s="445"/>
      <c r="P18" s="437"/>
      <c r="Q18" s="437"/>
      <c r="R18" s="437"/>
      <c r="S18" s="437"/>
      <c r="T18" s="437"/>
    </row>
    <row r="19" spans="1:47" s="19" customFormat="1" ht="25.5" customHeight="1" thickBot="1" x14ac:dyDescent="0.85">
      <c r="A19" s="244">
        <f>+A17</f>
        <v>1</v>
      </c>
      <c r="B19" s="244"/>
      <c r="C19" s="244"/>
      <c r="D19" s="244"/>
      <c r="E19" s="314" t="s">
        <v>33</v>
      </c>
      <c r="F19" s="330">
        <f>SUM(F17:F18)</f>
        <v>600000</v>
      </c>
      <c r="G19" s="246">
        <f>SUM(G17:G18)</f>
        <v>0</v>
      </c>
      <c r="H19" s="246">
        <f>SUM(H17:H18)</f>
        <v>0</v>
      </c>
      <c r="I19" s="259"/>
      <c r="J19" s="313" t="s">
        <v>200</v>
      </c>
      <c r="K19" s="259">
        <f>SUM(K18:K18)</f>
        <v>0</v>
      </c>
      <c r="L19" s="259">
        <f>SUM(L18:L18)</f>
        <v>0</v>
      </c>
      <c r="M19" s="259"/>
      <c r="N19" s="259"/>
      <c r="O19" s="443"/>
      <c r="P19" s="455">
        <f>+F19+G19</f>
        <v>600000</v>
      </c>
      <c r="Q19" s="451"/>
      <c r="R19" s="451"/>
      <c r="S19" s="453"/>
      <c r="T19" s="453"/>
    </row>
    <row r="20" spans="1:47" s="28" customFormat="1" ht="22.5" thickBot="1" x14ac:dyDescent="0.55000000000000004">
      <c r="A20" s="247">
        <f>+A15+A19</f>
        <v>4</v>
      </c>
      <c r="B20" s="248"/>
      <c r="C20" s="248"/>
      <c r="D20" s="248"/>
      <c r="E20" s="248" t="s">
        <v>178</v>
      </c>
      <c r="F20" s="331">
        <f>F15+F19</f>
        <v>1186800</v>
      </c>
      <c r="G20" s="310">
        <f>+G15+G19</f>
        <v>0</v>
      </c>
      <c r="H20" s="310" t="e">
        <f>+H15+H19</f>
        <v>#REF!</v>
      </c>
      <c r="I20" s="249"/>
      <c r="J20" s="249" t="e">
        <f>J15+J19</f>
        <v>#REF!</v>
      </c>
      <c r="K20" s="249" t="e">
        <f>K15+K19</f>
        <v>#REF!</v>
      </c>
      <c r="L20" s="249" t="e">
        <f>L15+L19</f>
        <v>#REF!</v>
      </c>
      <c r="M20" s="249"/>
      <c r="N20" s="249"/>
      <c r="O20" s="456"/>
      <c r="P20" s="450">
        <f>+P15+P19</f>
        <v>1186800</v>
      </c>
      <c r="Q20" s="457"/>
      <c r="R20" s="457"/>
      <c r="S20" s="434"/>
      <c r="T20" s="434"/>
      <c r="U20" s="2"/>
      <c r="V20" s="2"/>
      <c r="W20" s="2"/>
      <c r="X20" s="2"/>
      <c r="Y20" s="2"/>
      <c r="Z20" s="2"/>
      <c r="AA20" s="2"/>
      <c r="AB20" s="2"/>
    </row>
    <row r="21" spans="1:47" s="9" customFormat="1" x14ac:dyDescent="0.2">
      <c r="A21" s="15"/>
      <c r="B21" s="15"/>
      <c r="C21" s="15"/>
      <c r="D21" s="15"/>
      <c r="E21" s="31"/>
      <c r="F21" s="104"/>
      <c r="G21" s="20"/>
      <c r="H21" s="20"/>
      <c r="I21" s="20"/>
      <c r="J21" s="20"/>
      <c r="K21" s="104"/>
      <c r="L21" s="104"/>
      <c r="M21" s="20"/>
      <c r="N21" s="20"/>
      <c r="O21" s="445"/>
      <c r="P21" s="437"/>
      <c r="Q21" s="437"/>
      <c r="R21" s="437"/>
      <c r="S21" s="437"/>
      <c r="T21" s="437"/>
    </row>
    <row r="22" spans="1:47" s="9" customFormat="1" x14ac:dyDescent="0.5">
      <c r="A22" s="15"/>
      <c r="B22" s="15"/>
      <c r="C22" s="15"/>
      <c r="D22" s="15"/>
      <c r="E22" s="31"/>
      <c r="F22" s="261"/>
      <c r="G22" s="20"/>
      <c r="H22" s="20"/>
      <c r="I22" s="20"/>
      <c r="J22" s="20"/>
      <c r="K22" s="104"/>
      <c r="L22" s="104"/>
      <c r="M22" s="20"/>
      <c r="N22" s="20"/>
      <c r="O22" s="445"/>
      <c r="P22" s="437"/>
      <c r="Q22" s="437"/>
      <c r="R22" s="437"/>
      <c r="S22" s="437"/>
      <c r="T22" s="437"/>
    </row>
    <row r="24" spans="1:47" s="23" customFormat="1" x14ac:dyDescent="0.5">
      <c r="A24" s="22"/>
      <c r="B24" s="22"/>
      <c r="C24" s="22"/>
      <c r="D24" s="22"/>
      <c r="E24" s="81"/>
      <c r="F24" s="277"/>
      <c r="G24" s="125"/>
      <c r="H24" s="125"/>
      <c r="I24" s="125"/>
      <c r="J24" s="125"/>
      <c r="K24" s="190"/>
      <c r="L24" s="190"/>
      <c r="M24" s="125"/>
      <c r="N24" s="125"/>
      <c r="O24" s="441"/>
      <c r="P24" s="434"/>
      <c r="Q24" s="434"/>
      <c r="R24" s="434"/>
      <c r="S24" s="434"/>
      <c r="T24" s="43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s="23" customFormat="1" x14ac:dyDescent="0.5">
      <c r="A25" s="22"/>
      <c r="B25" s="22"/>
      <c r="C25" s="22"/>
      <c r="D25" s="22"/>
      <c r="F25" s="263"/>
      <c r="G25" s="107"/>
      <c r="H25" s="107"/>
      <c r="I25" s="107"/>
      <c r="J25" s="107"/>
      <c r="K25" s="190"/>
      <c r="L25" s="190"/>
      <c r="M25" s="107"/>
      <c r="N25" s="107"/>
      <c r="O25" s="441"/>
      <c r="P25" s="434"/>
      <c r="Q25" s="434"/>
      <c r="R25" s="434"/>
      <c r="S25" s="434"/>
      <c r="T25" s="4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s="23" customFormat="1" x14ac:dyDescent="0.5">
      <c r="A26" s="22"/>
      <c r="B26" s="22"/>
      <c r="C26" s="22"/>
      <c r="D26" s="22"/>
      <c r="F26" s="263"/>
      <c r="G26" s="107"/>
      <c r="H26" s="107"/>
      <c r="I26" s="107"/>
      <c r="J26" s="107"/>
      <c r="K26" s="190"/>
      <c r="L26" s="190"/>
      <c r="M26" s="107"/>
      <c r="N26" s="107"/>
      <c r="O26" s="441"/>
      <c r="P26" s="434"/>
      <c r="Q26" s="434"/>
      <c r="R26" s="434"/>
      <c r="S26" s="434"/>
      <c r="T26" s="43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s="23" customFormat="1" x14ac:dyDescent="0.5">
      <c r="A27" s="22"/>
      <c r="B27" s="22"/>
      <c r="C27" s="22"/>
      <c r="D27" s="22"/>
      <c r="F27" s="263"/>
      <c r="G27" s="107"/>
      <c r="H27" s="107"/>
      <c r="I27" s="107"/>
      <c r="J27" s="107"/>
      <c r="K27" s="190"/>
      <c r="L27" s="190"/>
      <c r="M27" s="107"/>
      <c r="N27" s="107"/>
      <c r="O27" s="441"/>
      <c r="P27" s="434"/>
      <c r="Q27" s="434"/>
      <c r="R27" s="434"/>
      <c r="S27" s="434"/>
      <c r="T27" s="43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</sheetData>
  <autoFilter ref="O1:O27"/>
  <mergeCells count="21">
    <mergeCell ref="R5:R8"/>
    <mergeCell ref="A5:A8"/>
    <mergeCell ref="B5:B8"/>
    <mergeCell ref="D5:D8"/>
    <mergeCell ref="F4:G4"/>
    <mergeCell ref="G6:G8"/>
    <mergeCell ref="Q5:Q8"/>
    <mergeCell ref="I5:I8"/>
    <mergeCell ref="F5:H5"/>
    <mergeCell ref="H6:H8"/>
    <mergeCell ref="N5:N8"/>
    <mergeCell ref="M5:M8"/>
    <mergeCell ref="L5:L8"/>
    <mergeCell ref="F6:F8"/>
    <mergeCell ref="J5:J8"/>
    <mergeCell ref="C5:C8"/>
    <mergeCell ref="E5:E8"/>
    <mergeCell ref="K5:K8"/>
    <mergeCell ref="A1:N1"/>
    <mergeCell ref="A2:N2"/>
    <mergeCell ref="A3:N3"/>
  </mergeCells>
  <phoneticPr fontId="2" type="noConversion"/>
  <conditionalFormatting sqref="F11:F13">
    <cfRule type="cellIs" dxfId="95" priority="2" stopIfTrue="1" operator="between">
      <formula>2000001</formula>
      <formula>500000000</formula>
    </cfRule>
  </conditionalFormatting>
  <conditionalFormatting sqref="F17">
    <cfRule type="cellIs" dxfId="94" priority="1" stopIfTrue="1" operator="between">
      <formula>2000001</formula>
      <formula>500000000</formula>
    </cfRule>
  </conditionalFormatting>
  <pageMargins left="0.47244094488188981" right="0.59055118110236227" top="0.39370078740157483" bottom="0.19685039370078741" header="0.51181102362204722" footer="0.51181102362204722"/>
  <pageSetup paperSize="9" scale="85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U40"/>
  <sheetViews>
    <sheetView zoomScaleNormal="100" zoomScaleSheetLayoutView="100" workbookViewId="0">
      <selection activeCell="A3" sqref="A3:N3"/>
    </sheetView>
  </sheetViews>
  <sheetFormatPr defaultRowHeight="21.75" x14ac:dyDescent="0.5"/>
  <cols>
    <col min="1" max="1" width="5.85546875" style="3" customWidth="1"/>
    <col min="2" max="3" width="6.7109375" style="3" customWidth="1"/>
    <col min="4" max="4" width="8.42578125" style="3" customWidth="1"/>
    <col min="5" max="5" width="43" style="1" customWidth="1"/>
    <col min="6" max="6" width="15.5703125" style="264" bestFit="1" customWidth="1"/>
    <col min="7" max="7" width="13.5703125" style="106" customWidth="1"/>
    <col min="8" max="8" width="14.7109375" style="106" hidden="1" customWidth="1"/>
    <col min="9" max="9" width="38.140625" style="106" hidden="1" customWidth="1"/>
    <col min="10" max="10" width="13.140625" style="106" hidden="1" customWidth="1"/>
    <col min="11" max="11" width="12.28515625" style="156" hidden="1" customWidth="1"/>
    <col min="12" max="12" width="4.7109375" style="156" hidden="1" customWidth="1"/>
    <col min="13" max="14" width="40.42578125" style="106" customWidth="1"/>
    <col min="15" max="15" width="4.140625" style="441" customWidth="1"/>
    <col min="16" max="16" width="19.5703125" style="434" bestFit="1" customWidth="1"/>
    <col min="17" max="17" width="13.7109375" style="434" bestFit="1" customWidth="1"/>
    <col min="18" max="18" width="13.5703125" style="434" bestFit="1" customWidth="1"/>
    <col min="19" max="19" width="9.140625" style="434"/>
    <col min="20" max="20" width="14.5703125" style="434" bestFit="1" customWidth="1"/>
    <col min="21" max="28" width="9.140625" style="2"/>
    <col min="29" max="16384" width="9.140625" style="1"/>
  </cols>
  <sheetData>
    <row r="1" spans="1:39" x14ac:dyDescent="0.5">
      <c r="A1" s="775" t="s">
        <v>210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433"/>
      <c r="R1" s="434" t="s">
        <v>524</v>
      </c>
      <c r="T1" s="434" t="s">
        <v>202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5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433"/>
      <c r="P2" s="435" t="s">
        <v>522</v>
      </c>
      <c r="Q2" s="434">
        <v>11</v>
      </c>
      <c r="R2" s="436" t="e">
        <f>SUM(#REF!)</f>
        <v>#REF!</v>
      </c>
      <c r="S2" s="436" t="s">
        <v>209</v>
      </c>
      <c r="T2" s="434" t="s">
        <v>209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5">
      <c r="A3" s="775" t="s">
        <v>816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433"/>
      <c r="P3" s="437" t="s">
        <v>523</v>
      </c>
      <c r="Q3" s="438">
        <v>2</v>
      </c>
      <c r="R3" s="439" t="e">
        <f>+#REF!+#REF!</f>
        <v>#REF!</v>
      </c>
      <c r="S3" s="440">
        <v>19</v>
      </c>
      <c r="T3" s="439" t="e">
        <f>SUM(#REF!)</f>
        <v>#REF!</v>
      </c>
      <c r="U3" s="1"/>
      <c r="V3" s="1"/>
      <c r="W3" s="1"/>
      <c r="X3" s="1"/>
      <c r="Y3" s="1"/>
      <c r="Z3" s="1"/>
      <c r="AA3" s="1"/>
      <c r="AB3" s="1"/>
    </row>
    <row r="4" spans="1:39" x14ac:dyDescent="0.5">
      <c r="A4" s="1"/>
      <c r="B4" s="1"/>
      <c r="C4" s="1"/>
      <c r="D4" s="1"/>
      <c r="F4" s="787"/>
      <c r="G4" s="787"/>
      <c r="H4" s="5"/>
      <c r="I4" s="5"/>
      <c r="J4" s="5"/>
      <c r="M4" s="5"/>
      <c r="N4" s="507"/>
      <c r="P4" s="434" t="s">
        <v>536</v>
      </c>
      <c r="Q4" s="442" t="s">
        <v>209</v>
      </c>
      <c r="R4" s="442" t="s">
        <v>209</v>
      </c>
      <c r="S4" s="434" t="s">
        <v>209</v>
      </c>
      <c r="T4" s="434" t="s">
        <v>209</v>
      </c>
    </row>
    <row r="5" spans="1:39" ht="21.75" customHeight="1" x14ac:dyDescent="0.5">
      <c r="A5" s="770" t="s">
        <v>19</v>
      </c>
      <c r="B5" s="770" t="s">
        <v>20</v>
      </c>
      <c r="C5" s="770" t="s">
        <v>129</v>
      </c>
      <c r="D5" s="770" t="s">
        <v>21</v>
      </c>
      <c r="E5" s="770" t="s">
        <v>29</v>
      </c>
      <c r="F5" s="772" t="s">
        <v>26</v>
      </c>
      <c r="G5" s="773"/>
      <c r="H5" s="774"/>
      <c r="I5" s="767" t="s">
        <v>535</v>
      </c>
      <c r="J5" s="789" t="s">
        <v>122</v>
      </c>
      <c r="K5" s="767" t="s">
        <v>121</v>
      </c>
      <c r="L5" s="776" t="s">
        <v>123</v>
      </c>
      <c r="M5" s="784" t="s">
        <v>538</v>
      </c>
      <c r="N5" s="784" t="s">
        <v>811</v>
      </c>
      <c r="O5" s="443"/>
      <c r="Q5" s="788" t="s">
        <v>142</v>
      </c>
      <c r="R5" s="788" t="s">
        <v>150</v>
      </c>
    </row>
    <row r="6" spans="1:39" ht="21" customHeight="1" x14ac:dyDescent="0.5">
      <c r="A6" s="771"/>
      <c r="B6" s="771"/>
      <c r="C6" s="771"/>
      <c r="D6" s="771"/>
      <c r="E6" s="771"/>
      <c r="F6" s="778" t="s">
        <v>46</v>
      </c>
      <c r="G6" s="768" t="s">
        <v>103</v>
      </c>
      <c r="H6" s="767" t="s">
        <v>150</v>
      </c>
      <c r="I6" s="768"/>
      <c r="J6" s="790"/>
      <c r="K6" s="768"/>
      <c r="L6" s="777"/>
      <c r="M6" s="785"/>
      <c r="N6" s="785"/>
      <c r="O6" s="443"/>
      <c r="Q6" s="788"/>
      <c r="R6" s="788"/>
    </row>
    <row r="7" spans="1:39" ht="21" customHeight="1" x14ac:dyDescent="0.5">
      <c r="A7" s="771"/>
      <c r="B7" s="771"/>
      <c r="C7" s="771"/>
      <c r="D7" s="771"/>
      <c r="E7" s="771"/>
      <c r="F7" s="778"/>
      <c r="G7" s="768"/>
      <c r="H7" s="768"/>
      <c r="I7" s="768"/>
      <c r="J7" s="790"/>
      <c r="K7" s="768"/>
      <c r="L7" s="777"/>
      <c r="M7" s="785"/>
      <c r="N7" s="785"/>
      <c r="O7" s="443"/>
      <c r="Q7" s="788"/>
      <c r="R7" s="788"/>
    </row>
    <row r="8" spans="1:39" ht="18" customHeight="1" x14ac:dyDescent="0.5">
      <c r="A8" s="771"/>
      <c r="B8" s="771"/>
      <c r="C8" s="780"/>
      <c r="D8" s="771"/>
      <c r="E8" s="771"/>
      <c r="F8" s="779"/>
      <c r="G8" s="769"/>
      <c r="H8" s="769"/>
      <c r="I8" s="769"/>
      <c r="J8" s="791"/>
      <c r="K8" s="769"/>
      <c r="L8" s="777"/>
      <c r="M8" s="786"/>
      <c r="N8" s="786"/>
      <c r="O8" s="443"/>
      <c r="Q8" s="788"/>
      <c r="R8" s="788"/>
    </row>
    <row r="9" spans="1:39" x14ac:dyDescent="0.5">
      <c r="A9" s="12"/>
      <c r="B9" s="12"/>
      <c r="C9" s="12"/>
      <c r="D9" s="12"/>
      <c r="E9" s="32" t="s">
        <v>6</v>
      </c>
      <c r="F9" s="256"/>
      <c r="G9" s="105"/>
      <c r="H9" s="105"/>
      <c r="I9" s="105"/>
      <c r="J9" s="279"/>
      <c r="K9" s="189"/>
      <c r="L9" s="189"/>
      <c r="M9" s="105"/>
      <c r="N9" s="105"/>
    </row>
    <row r="10" spans="1:39" s="9" customFormat="1" x14ac:dyDescent="0.2">
      <c r="A10" s="6"/>
      <c r="B10" s="6"/>
      <c r="C10" s="6"/>
      <c r="D10" s="6"/>
      <c r="E10" s="17" t="s">
        <v>37</v>
      </c>
      <c r="F10" s="11"/>
      <c r="G10" s="11"/>
      <c r="H10" s="11"/>
      <c r="I10" s="11"/>
      <c r="J10" s="280"/>
      <c r="K10" s="10"/>
      <c r="L10" s="10"/>
      <c r="M10" s="11"/>
      <c r="N10" s="11"/>
      <c r="O10" s="445"/>
      <c r="P10" s="437"/>
      <c r="Q10" s="437"/>
      <c r="R10" s="437"/>
      <c r="S10" s="437"/>
      <c r="T10" s="437"/>
    </row>
    <row r="11" spans="1:39" s="576" customFormat="1" ht="69" x14ac:dyDescent="0.2">
      <c r="A11" s="566">
        <v>1</v>
      </c>
      <c r="B11" s="566"/>
      <c r="C11" s="567" t="s">
        <v>303</v>
      </c>
      <c r="D11" s="566" t="s">
        <v>6</v>
      </c>
      <c r="E11" s="568" t="s">
        <v>361</v>
      </c>
      <c r="F11" s="569">
        <v>19200000</v>
      </c>
      <c r="G11" s="570"/>
      <c r="H11" s="570"/>
      <c r="I11" s="581" t="s">
        <v>556</v>
      </c>
      <c r="J11" s="582"/>
      <c r="K11" s="583"/>
      <c r="L11" s="583"/>
      <c r="M11" s="581" t="s">
        <v>556</v>
      </c>
      <c r="N11" s="581"/>
      <c r="O11" s="574">
        <v>2</v>
      </c>
      <c r="P11" s="575"/>
      <c r="Q11" s="575"/>
      <c r="R11" s="575"/>
      <c r="S11" s="575"/>
      <c r="T11" s="575"/>
    </row>
    <row r="12" spans="1:39" s="576" customFormat="1" ht="69" x14ac:dyDescent="0.2">
      <c r="A12" s="566">
        <v>2</v>
      </c>
      <c r="B12" s="566"/>
      <c r="C12" s="567" t="s">
        <v>303</v>
      </c>
      <c r="D12" s="566" t="s">
        <v>6</v>
      </c>
      <c r="E12" s="568" t="s">
        <v>362</v>
      </c>
      <c r="F12" s="569">
        <v>5074000</v>
      </c>
      <c r="G12" s="570"/>
      <c r="H12" s="570"/>
      <c r="I12" s="581" t="s">
        <v>557</v>
      </c>
      <c r="J12" s="582"/>
      <c r="K12" s="583"/>
      <c r="L12" s="583"/>
      <c r="M12" s="581" t="s">
        <v>557</v>
      </c>
      <c r="N12" s="581"/>
      <c r="O12" s="574">
        <v>2</v>
      </c>
      <c r="P12" s="575"/>
      <c r="Q12" s="575"/>
      <c r="R12" s="575"/>
      <c r="S12" s="575"/>
      <c r="T12" s="575"/>
    </row>
    <row r="13" spans="1:39" s="576" customFormat="1" ht="65.25" x14ac:dyDescent="0.2">
      <c r="A13" s="577">
        <v>3</v>
      </c>
      <c r="B13" s="577"/>
      <c r="C13" s="578" t="s">
        <v>293</v>
      </c>
      <c r="D13" s="577" t="s">
        <v>6</v>
      </c>
      <c r="E13" s="579" t="s">
        <v>363</v>
      </c>
      <c r="F13" s="550">
        <v>900000</v>
      </c>
      <c r="G13" s="561"/>
      <c r="H13" s="561"/>
      <c r="I13" s="551" t="s">
        <v>558</v>
      </c>
      <c r="J13" s="582"/>
      <c r="K13" s="583"/>
      <c r="L13" s="583"/>
      <c r="M13" s="551" t="s">
        <v>558</v>
      </c>
      <c r="N13" s="551"/>
      <c r="O13" s="574">
        <v>1</v>
      </c>
      <c r="P13" s="575"/>
      <c r="Q13" s="575"/>
      <c r="R13" s="575"/>
      <c r="S13" s="575"/>
      <c r="T13" s="575"/>
    </row>
    <row r="14" spans="1:39" s="576" customFormat="1" ht="65.25" x14ac:dyDescent="0.2">
      <c r="A14" s="577">
        <v>4</v>
      </c>
      <c r="B14" s="577"/>
      <c r="C14" s="578" t="s">
        <v>293</v>
      </c>
      <c r="D14" s="577" t="s">
        <v>6</v>
      </c>
      <c r="E14" s="579" t="s">
        <v>364</v>
      </c>
      <c r="F14" s="550">
        <v>735000</v>
      </c>
      <c r="G14" s="561"/>
      <c r="H14" s="561"/>
      <c r="I14" s="551" t="s">
        <v>558</v>
      </c>
      <c r="J14" s="582"/>
      <c r="K14" s="583"/>
      <c r="L14" s="583"/>
      <c r="M14" s="551" t="s">
        <v>558</v>
      </c>
      <c r="N14" s="551"/>
      <c r="O14" s="574">
        <v>1</v>
      </c>
      <c r="P14" s="575"/>
      <c r="Q14" s="575"/>
      <c r="R14" s="575"/>
      <c r="S14" s="575"/>
      <c r="T14" s="575"/>
    </row>
    <row r="15" spans="1:39" s="576" customFormat="1" ht="65.25" x14ac:dyDescent="0.2">
      <c r="A15" s="577">
        <v>5</v>
      </c>
      <c r="B15" s="577"/>
      <c r="C15" s="578" t="s">
        <v>293</v>
      </c>
      <c r="D15" s="577" t="s">
        <v>6</v>
      </c>
      <c r="E15" s="579" t="s">
        <v>365</v>
      </c>
      <c r="F15" s="550">
        <v>930000</v>
      </c>
      <c r="G15" s="561"/>
      <c r="H15" s="561"/>
      <c r="I15" s="551" t="s">
        <v>558</v>
      </c>
      <c r="J15" s="582"/>
      <c r="K15" s="583"/>
      <c r="L15" s="583"/>
      <c r="M15" s="551" t="s">
        <v>558</v>
      </c>
      <c r="N15" s="551"/>
      <c r="O15" s="574">
        <v>1</v>
      </c>
      <c r="P15" s="575"/>
      <c r="Q15" s="575"/>
      <c r="R15" s="575"/>
      <c r="S15" s="575"/>
      <c r="T15" s="575"/>
    </row>
    <row r="16" spans="1:39" s="576" customFormat="1" ht="65.25" x14ac:dyDescent="0.2">
      <c r="A16" s="577">
        <v>6</v>
      </c>
      <c r="B16" s="577"/>
      <c r="C16" s="578" t="s">
        <v>293</v>
      </c>
      <c r="D16" s="577" t="s">
        <v>6</v>
      </c>
      <c r="E16" s="579" t="s">
        <v>366</v>
      </c>
      <c r="F16" s="550">
        <v>775000</v>
      </c>
      <c r="G16" s="561"/>
      <c r="H16" s="561"/>
      <c r="I16" s="551" t="s">
        <v>558</v>
      </c>
      <c r="J16" s="582"/>
      <c r="K16" s="583"/>
      <c r="L16" s="583"/>
      <c r="M16" s="551" t="s">
        <v>558</v>
      </c>
      <c r="N16" s="551"/>
      <c r="O16" s="574">
        <v>1</v>
      </c>
      <c r="P16" s="575"/>
      <c r="Q16" s="575"/>
      <c r="R16" s="575"/>
      <c r="S16" s="575"/>
      <c r="T16" s="575"/>
    </row>
    <row r="17" spans="1:20" s="576" customFormat="1" ht="65.25" x14ac:dyDescent="0.2">
      <c r="A17" s="577">
        <v>7</v>
      </c>
      <c r="B17" s="577"/>
      <c r="C17" s="578" t="s">
        <v>293</v>
      </c>
      <c r="D17" s="577" t="s">
        <v>6</v>
      </c>
      <c r="E17" s="579" t="s">
        <v>367</v>
      </c>
      <c r="F17" s="550">
        <v>30000</v>
      </c>
      <c r="G17" s="561"/>
      <c r="H17" s="561"/>
      <c r="I17" s="551" t="s">
        <v>558</v>
      </c>
      <c r="J17" s="582"/>
      <c r="K17" s="583"/>
      <c r="L17" s="583"/>
      <c r="M17" s="551" t="s">
        <v>558</v>
      </c>
      <c r="N17" s="551"/>
      <c r="O17" s="574">
        <v>1</v>
      </c>
      <c r="P17" s="575"/>
      <c r="Q17" s="575"/>
      <c r="R17" s="575"/>
      <c r="S17" s="575"/>
      <c r="T17" s="575"/>
    </row>
    <row r="18" spans="1:20" s="576" customFormat="1" ht="65.25" x14ac:dyDescent="0.2">
      <c r="A18" s="577">
        <v>8</v>
      </c>
      <c r="B18" s="577"/>
      <c r="C18" s="578" t="s">
        <v>293</v>
      </c>
      <c r="D18" s="577" t="s">
        <v>6</v>
      </c>
      <c r="E18" s="579" t="s">
        <v>368</v>
      </c>
      <c r="F18" s="550">
        <v>603900</v>
      </c>
      <c r="G18" s="561"/>
      <c r="H18" s="561"/>
      <c r="I18" s="551" t="s">
        <v>558</v>
      </c>
      <c r="J18" s="582"/>
      <c r="K18" s="583"/>
      <c r="L18" s="583"/>
      <c r="M18" s="551" t="s">
        <v>558</v>
      </c>
      <c r="N18" s="551"/>
      <c r="O18" s="574">
        <v>1</v>
      </c>
      <c r="P18" s="575"/>
      <c r="Q18" s="575"/>
      <c r="R18" s="575"/>
      <c r="S18" s="575"/>
      <c r="T18" s="575"/>
    </row>
    <row r="19" spans="1:20" s="576" customFormat="1" ht="65.25" x14ac:dyDescent="0.2">
      <c r="A19" s="577">
        <v>9</v>
      </c>
      <c r="B19" s="577"/>
      <c r="C19" s="578" t="s">
        <v>293</v>
      </c>
      <c r="D19" s="577" t="s">
        <v>6</v>
      </c>
      <c r="E19" s="579" t="s">
        <v>369</v>
      </c>
      <c r="F19" s="550">
        <v>96000</v>
      </c>
      <c r="G19" s="561"/>
      <c r="H19" s="561"/>
      <c r="I19" s="551" t="s">
        <v>558</v>
      </c>
      <c r="J19" s="582"/>
      <c r="K19" s="583"/>
      <c r="L19" s="583"/>
      <c r="M19" s="551" t="s">
        <v>558</v>
      </c>
      <c r="N19" s="551"/>
      <c r="O19" s="574">
        <v>1</v>
      </c>
      <c r="P19" s="575"/>
      <c r="Q19" s="575"/>
      <c r="R19" s="575"/>
      <c r="S19" s="575"/>
      <c r="T19" s="575"/>
    </row>
    <row r="20" spans="1:20" s="576" customFormat="1" ht="105" x14ac:dyDescent="0.2">
      <c r="A20" s="577">
        <v>10</v>
      </c>
      <c r="B20" s="577" t="s">
        <v>6</v>
      </c>
      <c r="C20" s="517" t="s">
        <v>432</v>
      </c>
      <c r="D20" s="577" t="s">
        <v>6</v>
      </c>
      <c r="E20" s="518" t="s">
        <v>544</v>
      </c>
      <c r="F20" s="550">
        <v>44000</v>
      </c>
      <c r="G20" s="561"/>
      <c r="H20" s="561"/>
      <c r="I20" s="580"/>
      <c r="J20" s="572"/>
      <c r="K20" s="573"/>
      <c r="L20" s="573"/>
      <c r="M20" s="580"/>
      <c r="N20" s="580"/>
      <c r="O20" s="574"/>
      <c r="P20" s="575"/>
      <c r="Q20" s="575"/>
      <c r="R20" s="575"/>
      <c r="S20" s="575"/>
      <c r="T20" s="575"/>
    </row>
    <row r="21" spans="1:20" s="576" customFormat="1" ht="105" x14ac:dyDescent="0.2">
      <c r="A21" s="577">
        <v>11</v>
      </c>
      <c r="B21" s="577" t="s">
        <v>6</v>
      </c>
      <c r="C21" s="517" t="s">
        <v>432</v>
      </c>
      <c r="D21" s="577" t="s">
        <v>6</v>
      </c>
      <c r="E21" s="518" t="s">
        <v>545</v>
      </c>
      <c r="F21" s="550">
        <v>163200</v>
      </c>
      <c r="G21" s="561"/>
      <c r="H21" s="561"/>
      <c r="I21" s="580"/>
      <c r="J21" s="572"/>
      <c r="K21" s="573"/>
      <c r="L21" s="573"/>
      <c r="M21" s="580"/>
      <c r="N21" s="580"/>
      <c r="O21" s="574"/>
      <c r="P21" s="575"/>
      <c r="Q21" s="575"/>
      <c r="R21" s="575"/>
      <c r="S21" s="575"/>
      <c r="T21" s="575"/>
    </row>
    <row r="22" spans="1:20" s="576" customFormat="1" ht="105" x14ac:dyDescent="0.2">
      <c r="A22" s="577">
        <v>12</v>
      </c>
      <c r="B22" s="577" t="s">
        <v>6</v>
      </c>
      <c r="C22" s="517" t="s">
        <v>432</v>
      </c>
      <c r="D22" s="577" t="s">
        <v>6</v>
      </c>
      <c r="E22" s="518" t="s">
        <v>546</v>
      </c>
      <c r="F22" s="550">
        <v>184000</v>
      </c>
      <c r="G22" s="561"/>
      <c r="H22" s="561"/>
      <c r="I22" s="580"/>
      <c r="J22" s="572"/>
      <c r="K22" s="573"/>
      <c r="L22" s="573"/>
      <c r="M22" s="580"/>
      <c r="N22" s="580"/>
      <c r="O22" s="574"/>
      <c r="P22" s="575"/>
      <c r="Q22" s="575"/>
      <c r="R22" s="575"/>
      <c r="S22" s="575"/>
      <c r="T22" s="575"/>
    </row>
    <row r="23" spans="1:20" s="9" customFormat="1" x14ac:dyDescent="0.2">
      <c r="A23" s="6"/>
      <c r="B23" s="13"/>
      <c r="C23" s="13"/>
      <c r="D23" s="13"/>
      <c r="E23" s="7"/>
      <c r="F23" s="339"/>
      <c r="G23" s="11"/>
      <c r="H23" s="11"/>
      <c r="I23" s="11"/>
      <c r="J23" s="280"/>
      <c r="K23" s="10"/>
      <c r="L23" s="10"/>
      <c r="M23" s="11"/>
      <c r="N23" s="11"/>
      <c r="O23" s="445"/>
      <c r="P23" s="437"/>
      <c r="Q23" s="437"/>
      <c r="R23" s="437"/>
      <c r="S23" s="437"/>
      <c r="T23" s="437"/>
    </row>
    <row r="24" spans="1:20" s="14" customFormat="1" x14ac:dyDescent="0.5">
      <c r="A24" s="241">
        <f>+A22</f>
        <v>12</v>
      </c>
      <c r="B24" s="241"/>
      <c r="C24" s="241"/>
      <c r="D24" s="241"/>
      <c r="E24" s="242" t="s">
        <v>47</v>
      </c>
      <c r="F24" s="329">
        <f>SUM(F11:F23)</f>
        <v>28735100</v>
      </c>
      <c r="G24" s="258">
        <f>SUM(G23:G23)</f>
        <v>0</v>
      </c>
      <c r="H24" s="258">
        <f>SUM(H23:H23)</f>
        <v>0</v>
      </c>
      <c r="I24" s="258"/>
      <c r="J24" s="281">
        <f>SUM(J23:J23)</f>
        <v>0</v>
      </c>
      <c r="K24" s="258">
        <f>SUM(K23:K23)</f>
        <v>0</v>
      </c>
      <c r="L24" s="258">
        <f>SUM(L23:L23)</f>
        <v>0</v>
      </c>
      <c r="M24" s="258"/>
      <c r="N24" s="258"/>
      <c r="O24" s="449"/>
      <c r="P24" s="450">
        <f>+F24+G24</f>
        <v>28735100</v>
      </c>
      <c r="Q24" s="451"/>
      <c r="R24" s="451"/>
      <c r="S24" s="452"/>
      <c r="T24" s="452"/>
    </row>
    <row r="25" spans="1:20" s="19" customFormat="1" x14ac:dyDescent="0.2">
      <c r="A25" s="17"/>
      <c r="B25" s="17"/>
      <c r="C25" s="17"/>
      <c r="D25" s="17"/>
      <c r="E25" s="30" t="s">
        <v>10</v>
      </c>
      <c r="F25" s="34"/>
      <c r="G25" s="34"/>
      <c r="H25" s="34"/>
      <c r="I25" s="34"/>
      <c r="J25" s="278"/>
      <c r="K25" s="18"/>
      <c r="L25" s="18"/>
      <c r="M25" s="34"/>
      <c r="N25" s="34"/>
      <c r="O25" s="445"/>
      <c r="P25" s="453"/>
      <c r="Q25" s="453"/>
      <c r="R25" s="453"/>
      <c r="S25" s="453"/>
      <c r="T25" s="453"/>
    </row>
    <row r="26" spans="1:20" s="592" customFormat="1" ht="75" x14ac:dyDescent="0.2">
      <c r="A26" s="566">
        <v>1</v>
      </c>
      <c r="B26" s="566"/>
      <c r="C26" s="584" t="s">
        <v>303</v>
      </c>
      <c r="D26" s="566" t="s">
        <v>6</v>
      </c>
      <c r="E26" s="585" t="s">
        <v>370</v>
      </c>
      <c r="F26" s="569">
        <v>49130300</v>
      </c>
      <c r="G26" s="586"/>
      <c r="H26" s="586"/>
      <c r="I26" s="587" t="s">
        <v>559</v>
      </c>
      <c r="J26" s="588"/>
      <c r="K26" s="589"/>
      <c r="L26" s="589"/>
      <c r="M26" s="587" t="s">
        <v>559</v>
      </c>
      <c r="N26" s="587"/>
      <c r="O26" s="590">
        <v>2</v>
      </c>
      <c r="P26" s="591"/>
      <c r="Q26" s="591"/>
      <c r="R26" s="591"/>
      <c r="S26" s="591"/>
      <c r="T26" s="591"/>
    </row>
    <row r="27" spans="1:20" s="592" customFormat="1" ht="75" x14ac:dyDescent="0.2">
      <c r="A27" s="566">
        <v>2</v>
      </c>
      <c r="B27" s="566"/>
      <c r="C27" s="584" t="s">
        <v>303</v>
      </c>
      <c r="D27" s="566" t="s">
        <v>6</v>
      </c>
      <c r="E27" s="585" t="s">
        <v>371</v>
      </c>
      <c r="F27" s="569">
        <v>34011800</v>
      </c>
      <c r="G27" s="586"/>
      <c r="H27" s="586"/>
      <c r="I27" s="593" t="s">
        <v>559</v>
      </c>
      <c r="J27" s="588"/>
      <c r="K27" s="589"/>
      <c r="L27" s="589"/>
      <c r="M27" s="593" t="s">
        <v>559</v>
      </c>
      <c r="N27" s="593"/>
      <c r="O27" s="590">
        <v>2</v>
      </c>
      <c r="P27" s="591"/>
      <c r="Q27" s="591"/>
      <c r="R27" s="591"/>
      <c r="S27" s="591"/>
      <c r="T27" s="591"/>
    </row>
    <row r="28" spans="1:20" s="592" customFormat="1" ht="46.5" customHeight="1" x14ac:dyDescent="0.2">
      <c r="A28" s="566">
        <v>3</v>
      </c>
      <c r="B28" s="567"/>
      <c r="C28" s="584" t="s">
        <v>303</v>
      </c>
      <c r="D28" s="566" t="s">
        <v>6</v>
      </c>
      <c r="E28" s="585" t="s">
        <v>372</v>
      </c>
      <c r="F28" s="569">
        <v>21331100</v>
      </c>
      <c r="G28" s="586"/>
      <c r="H28" s="594"/>
      <c r="I28" s="595" t="s">
        <v>559</v>
      </c>
      <c r="J28" s="588"/>
      <c r="K28" s="589"/>
      <c r="L28" s="589"/>
      <c r="M28" s="595" t="s">
        <v>559</v>
      </c>
      <c r="N28" s="595"/>
      <c r="O28" s="590">
        <v>2</v>
      </c>
      <c r="P28" s="591"/>
      <c r="Q28" s="591"/>
      <c r="R28" s="591"/>
      <c r="S28" s="591"/>
      <c r="T28" s="591"/>
    </row>
    <row r="29" spans="1:20" s="592" customFormat="1" ht="47.25" customHeight="1" x14ac:dyDescent="0.2">
      <c r="A29" s="566">
        <v>4</v>
      </c>
      <c r="B29" s="567"/>
      <c r="C29" s="584" t="s">
        <v>303</v>
      </c>
      <c r="D29" s="566" t="s">
        <v>6</v>
      </c>
      <c r="E29" s="585" t="s">
        <v>373</v>
      </c>
      <c r="F29" s="569">
        <v>24575000</v>
      </c>
      <c r="G29" s="586"/>
      <c r="H29" s="594"/>
      <c r="I29" s="595" t="s">
        <v>559</v>
      </c>
      <c r="J29" s="588"/>
      <c r="K29" s="589"/>
      <c r="L29" s="589"/>
      <c r="M29" s="595" t="s">
        <v>559</v>
      </c>
      <c r="N29" s="595"/>
      <c r="O29" s="590">
        <v>2</v>
      </c>
      <c r="P29" s="591"/>
      <c r="Q29" s="591"/>
      <c r="R29" s="591"/>
      <c r="S29" s="591"/>
      <c r="T29" s="591"/>
    </row>
    <row r="30" spans="1:20" s="592" customFormat="1" ht="113.25" customHeight="1" x14ac:dyDescent="0.2">
      <c r="A30" s="577">
        <v>5</v>
      </c>
      <c r="B30" s="577" t="s">
        <v>6</v>
      </c>
      <c r="C30" s="517" t="s">
        <v>543</v>
      </c>
      <c r="D30" s="577" t="s">
        <v>6</v>
      </c>
      <c r="E30" s="518" t="s">
        <v>547</v>
      </c>
      <c r="F30" s="550">
        <v>400000</v>
      </c>
      <c r="G30" s="564"/>
      <c r="H30" s="596"/>
      <c r="I30" s="597"/>
      <c r="J30" s="588"/>
      <c r="K30" s="589"/>
      <c r="L30" s="589"/>
      <c r="M30" s="597"/>
      <c r="N30" s="597"/>
      <c r="O30" s="590"/>
      <c r="P30" s="591"/>
      <c r="Q30" s="591"/>
      <c r="R30" s="591"/>
      <c r="S30" s="591"/>
      <c r="T30" s="591"/>
    </row>
    <row r="31" spans="1:20" s="302" customFormat="1" ht="23.25" customHeight="1" x14ac:dyDescent="0.2">
      <c r="A31" s="271"/>
      <c r="B31" s="305"/>
      <c r="C31" s="271"/>
      <c r="D31" s="271"/>
      <c r="E31" s="297"/>
      <c r="F31" s="328"/>
      <c r="G31" s="274"/>
      <c r="H31" s="363"/>
      <c r="I31" s="340"/>
      <c r="J31" s="303"/>
      <c r="K31" s="301"/>
      <c r="L31" s="301"/>
      <c r="M31" s="340"/>
      <c r="N31" s="340"/>
      <c r="O31" s="447"/>
      <c r="P31" s="454"/>
      <c r="Q31" s="454"/>
      <c r="R31" s="454"/>
      <c r="S31" s="454"/>
      <c r="T31" s="454"/>
    </row>
    <row r="32" spans="1:20" s="19" customFormat="1" ht="22.5" thickBot="1" x14ac:dyDescent="0.55000000000000004">
      <c r="A32" s="244">
        <f>+A30</f>
        <v>5</v>
      </c>
      <c r="B32" s="244"/>
      <c r="C32" s="244"/>
      <c r="D32" s="244"/>
      <c r="E32" s="245" t="s">
        <v>33</v>
      </c>
      <c r="F32" s="330">
        <f>SUM(F26:F31)</f>
        <v>129448200</v>
      </c>
      <c r="G32" s="246">
        <f>SUM(G26:G31)</f>
        <v>0</v>
      </c>
      <c r="H32" s="246">
        <f>SUM(H26:H31)</f>
        <v>0</v>
      </c>
      <c r="I32" s="299"/>
      <c r="J32" s="282">
        <f>SUM(J26:J31)</f>
        <v>0</v>
      </c>
      <c r="K32" s="259">
        <f>SUM(K26:K31)</f>
        <v>0</v>
      </c>
      <c r="L32" s="259">
        <f>SUM(L26:L31)</f>
        <v>0</v>
      </c>
      <c r="M32" s="299"/>
      <c r="N32" s="299"/>
      <c r="O32" s="443"/>
      <c r="P32" s="455">
        <f>+F32+G32</f>
        <v>129448200</v>
      </c>
      <c r="Q32" s="451"/>
      <c r="R32" s="451"/>
      <c r="S32" s="453"/>
      <c r="T32" s="453"/>
    </row>
    <row r="33" spans="1:47" s="28" customFormat="1" ht="22.5" thickBot="1" x14ac:dyDescent="0.55000000000000004">
      <c r="A33" s="247">
        <f>+A24+A32</f>
        <v>17</v>
      </c>
      <c r="B33" s="248"/>
      <c r="C33" s="248"/>
      <c r="D33" s="248"/>
      <c r="E33" s="248" t="s">
        <v>179</v>
      </c>
      <c r="F33" s="331">
        <f>F24+F32</f>
        <v>158183300</v>
      </c>
      <c r="G33" s="310">
        <f>+G24+G32</f>
        <v>0</v>
      </c>
      <c r="H33" s="310">
        <f>+H24+H32</f>
        <v>0</v>
      </c>
      <c r="I33" s="249"/>
      <c r="J33" s="249">
        <f>J24+J32</f>
        <v>0</v>
      </c>
      <c r="K33" s="249">
        <f>K24+K32</f>
        <v>0</v>
      </c>
      <c r="L33" s="249">
        <f>L24+L32</f>
        <v>0</v>
      </c>
      <c r="M33" s="249"/>
      <c r="N33" s="249"/>
      <c r="O33" s="456"/>
      <c r="P33" s="450">
        <f>+P24+P32</f>
        <v>158183300</v>
      </c>
      <c r="Q33" s="457"/>
      <c r="R33" s="457"/>
      <c r="S33" s="434"/>
      <c r="T33" s="434"/>
      <c r="U33" s="2"/>
      <c r="V33" s="2"/>
      <c r="W33" s="2"/>
      <c r="X33" s="2"/>
      <c r="Y33" s="2"/>
      <c r="Z33" s="2"/>
      <c r="AA33" s="2"/>
      <c r="AB33" s="2"/>
    </row>
    <row r="34" spans="1:47" s="9" customFormat="1" x14ac:dyDescent="0.2">
      <c r="A34" s="15"/>
      <c r="B34" s="15"/>
      <c r="C34" s="15"/>
      <c r="D34" s="15"/>
      <c r="E34" s="31"/>
      <c r="F34" s="104"/>
      <c r="G34" s="20"/>
      <c r="H34" s="20"/>
      <c r="I34" s="20"/>
      <c r="J34" s="20"/>
      <c r="K34" s="104"/>
      <c r="L34" s="104"/>
      <c r="M34" s="20"/>
      <c r="N34" s="20"/>
      <c r="O34" s="445"/>
      <c r="P34" s="437"/>
      <c r="Q34" s="437"/>
      <c r="R34" s="437"/>
      <c r="S34" s="437"/>
      <c r="T34" s="437"/>
    </row>
    <row r="35" spans="1:47" s="9" customFormat="1" x14ac:dyDescent="0.5">
      <c r="A35" s="15"/>
      <c r="B35" s="15"/>
      <c r="C35" s="15"/>
      <c r="D35" s="15"/>
      <c r="E35" s="31"/>
      <c r="F35" s="261"/>
      <c r="G35" s="20"/>
      <c r="H35" s="20"/>
      <c r="I35" s="20"/>
      <c r="J35" s="20"/>
      <c r="K35" s="104"/>
      <c r="L35" s="104"/>
      <c r="M35" s="20"/>
      <c r="N35" s="20"/>
      <c r="O35" s="445"/>
      <c r="P35" s="437"/>
      <c r="Q35" s="437"/>
      <c r="R35" s="437"/>
      <c r="S35" s="437"/>
      <c r="T35" s="437"/>
    </row>
    <row r="37" spans="1:47" s="23" customFormat="1" x14ac:dyDescent="0.5">
      <c r="A37" s="22"/>
      <c r="B37" s="22"/>
      <c r="C37" s="22"/>
      <c r="D37" s="22"/>
      <c r="E37" s="81"/>
      <c r="F37" s="277"/>
      <c r="G37" s="125"/>
      <c r="H37" s="125"/>
      <c r="I37" s="125"/>
      <c r="J37" s="125"/>
      <c r="K37" s="190"/>
      <c r="L37" s="190"/>
      <c r="M37" s="125"/>
      <c r="N37" s="125"/>
      <c r="O37" s="441"/>
      <c r="P37" s="434"/>
      <c r="Q37" s="434"/>
      <c r="R37" s="434"/>
      <c r="S37" s="434"/>
      <c r="T37" s="43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s="23" customFormat="1" x14ac:dyDescent="0.5">
      <c r="A38" s="22"/>
      <c r="B38" s="22"/>
      <c r="C38" s="22"/>
      <c r="D38" s="22"/>
      <c r="F38" s="263"/>
      <c r="G38" s="107"/>
      <c r="H38" s="107"/>
      <c r="I38" s="107"/>
      <c r="J38" s="107"/>
      <c r="K38" s="190"/>
      <c r="L38" s="190"/>
      <c r="M38" s="107"/>
      <c r="N38" s="107"/>
      <c r="O38" s="441"/>
      <c r="P38" s="434"/>
      <c r="Q38" s="434"/>
      <c r="R38" s="434"/>
      <c r="S38" s="434"/>
      <c r="T38" s="43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</row>
    <row r="39" spans="1:47" s="23" customFormat="1" x14ac:dyDescent="0.5">
      <c r="A39" s="22"/>
      <c r="B39" s="22"/>
      <c r="C39" s="22"/>
      <c r="D39" s="22"/>
      <c r="F39" s="263"/>
      <c r="G39" s="107"/>
      <c r="H39" s="107"/>
      <c r="I39" s="107"/>
      <c r="J39" s="107"/>
      <c r="K39" s="190"/>
      <c r="L39" s="190"/>
      <c r="M39" s="107"/>
      <c r="N39" s="107"/>
      <c r="O39" s="441"/>
      <c r="P39" s="434"/>
      <c r="Q39" s="434"/>
      <c r="R39" s="434"/>
      <c r="S39" s="434"/>
      <c r="T39" s="43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</row>
    <row r="40" spans="1:47" s="23" customFormat="1" x14ac:dyDescent="0.5">
      <c r="A40" s="22"/>
      <c r="B40" s="22"/>
      <c r="C40" s="22"/>
      <c r="D40" s="22"/>
      <c r="F40" s="263"/>
      <c r="G40" s="107"/>
      <c r="H40" s="107"/>
      <c r="I40" s="107"/>
      <c r="J40" s="107"/>
      <c r="K40" s="190"/>
      <c r="L40" s="190"/>
      <c r="M40" s="107"/>
      <c r="N40" s="107"/>
      <c r="O40" s="441"/>
      <c r="P40" s="434"/>
      <c r="Q40" s="434"/>
      <c r="R40" s="434"/>
      <c r="S40" s="434"/>
      <c r="T40" s="43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</row>
  </sheetData>
  <autoFilter ref="O1:O40"/>
  <mergeCells count="21">
    <mergeCell ref="R5:R8"/>
    <mergeCell ref="B5:B8"/>
    <mergeCell ref="D5:D8"/>
    <mergeCell ref="G6:G8"/>
    <mergeCell ref="J5:J8"/>
    <mergeCell ref="C5:C8"/>
    <mergeCell ref="Q5:Q8"/>
    <mergeCell ref="I5:I8"/>
    <mergeCell ref="F5:H5"/>
    <mergeCell ref="H6:H8"/>
    <mergeCell ref="N5:N8"/>
    <mergeCell ref="M5:M8"/>
    <mergeCell ref="A5:A8"/>
    <mergeCell ref="A1:N1"/>
    <mergeCell ref="A2:N2"/>
    <mergeCell ref="A3:N3"/>
    <mergeCell ref="F4:G4"/>
    <mergeCell ref="E5:E8"/>
    <mergeCell ref="F6:F8"/>
    <mergeCell ref="K5:K8"/>
    <mergeCell ref="L5:L8"/>
  </mergeCells>
  <phoneticPr fontId="2" type="noConversion"/>
  <conditionalFormatting sqref="F11:F22">
    <cfRule type="cellIs" dxfId="93" priority="2" stopIfTrue="1" operator="between">
      <formula>2000001</formula>
      <formula>500000000</formula>
    </cfRule>
  </conditionalFormatting>
  <conditionalFormatting sqref="F26:F30">
    <cfRule type="cellIs" dxfId="92" priority="1" stopIfTrue="1" operator="between">
      <formula>2000001</formula>
      <formula>500000000</formula>
    </cfRule>
  </conditionalFormatting>
  <pageMargins left="0.6692913385826772" right="0.70866141732283472" top="0.39370078740157483" bottom="0.39370078740157483" header="0.39370078740157483" footer="0.51181102362204722"/>
  <pageSetup paperSize="9" scale="90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48</vt:i4>
      </vt:variant>
      <vt:variant>
        <vt:lpstr>ช่วงที่มีชื่อ</vt:lpstr>
      </vt:variant>
      <vt:variant>
        <vt:i4>50</vt:i4>
      </vt:variant>
    </vt:vector>
  </HeadingPairs>
  <TitlesOfParts>
    <vt:vector size="98" baseType="lpstr">
      <vt:lpstr>สรุป PO</vt:lpstr>
      <vt:lpstr>สรุปรายการงบ</vt:lpstr>
      <vt:lpstr>ตร.</vt:lpstr>
      <vt:lpstr>บช.น.</vt:lpstr>
      <vt:lpstr>ภ.1</vt:lpstr>
      <vt:lpstr>ภ.2</vt:lpstr>
      <vt:lpstr>ภ.3</vt:lpstr>
      <vt:lpstr>ภ.4</vt:lpstr>
      <vt:lpstr>ภ.5</vt:lpstr>
      <vt:lpstr>ภ.6</vt:lpstr>
      <vt:lpstr>ภ.7</vt:lpstr>
      <vt:lpstr>ภ.8</vt:lpstr>
      <vt:lpstr>ภ.9</vt:lpstr>
      <vt:lpstr>ศชต.</vt:lpstr>
      <vt:lpstr>บช.ก.</vt:lpstr>
      <vt:lpstr>รน.</vt:lpstr>
      <vt:lpstr>บช.ปส.</vt:lpstr>
      <vt:lpstr>บช.ส.</vt:lpstr>
      <vt:lpstr>สตม.</vt:lpstr>
      <vt:lpstr>บช.ตชด.</vt:lpstr>
      <vt:lpstr>สง.นรป.</vt:lpstr>
      <vt:lpstr>สพฐ.ตร.</vt:lpstr>
      <vt:lpstr>สทส.</vt:lpstr>
      <vt:lpstr>บช.ศ.</vt:lpstr>
      <vt:lpstr>รร.นรต.</vt:lpstr>
      <vt:lpstr>รพ.ตร.</vt:lpstr>
      <vt:lpstr>สยศ.ตร.</vt:lpstr>
      <vt:lpstr>สกบ.</vt:lpstr>
      <vt:lpstr>สกพ.</vt:lpstr>
      <vt:lpstr>สงป.</vt:lpstr>
      <vt:lpstr>กมค.</vt:lpstr>
      <vt:lpstr>สง.ก.ตร.</vt:lpstr>
      <vt:lpstr>จต.</vt:lpstr>
      <vt:lpstr>สตส.</vt:lpstr>
      <vt:lpstr>สลก.ตร.</vt:lpstr>
      <vt:lpstr>ตท.</vt:lpstr>
      <vt:lpstr>สท.</vt:lpstr>
      <vt:lpstr>สง.ก.ต.ช.</vt:lpstr>
      <vt:lpstr>บ.ตร.</vt:lpstr>
      <vt:lpstr>วน.</vt:lpstr>
      <vt:lpstr>สรุป</vt:lpstr>
      <vt:lpstr>Sheet2</vt:lpstr>
      <vt:lpstr>Sheet3</vt:lpstr>
      <vt:lpstr>Units</vt:lpstr>
      <vt:lpstr>งบรายจ่ายอื่น</vt:lpstr>
      <vt:lpstr>จัดลำดับ</vt:lpstr>
      <vt:lpstr>Sheet4</vt:lpstr>
      <vt:lpstr>Sheet1</vt:lpstr>
      <vt:lpstr>ตท.!Print_Area</vt:lpstr>
      <vt:lpstr>บช.ก.!Print_Area</vt:lpstr>
      <vt:lpstr>ภ.1!Print_Area</vt:lpstr>
      <vt:lpstr>ภ.2!Print_Area</vt:lpstr>
      <vt:lpstr>ภ.3!Print_Area</vt:lpstr>
      <vt:lpstr>ภ.9!Print_Area</vt:lpstr>
      <vt:lpstr>ศชต.!Print_Area</vt:lpstr>
      <vt:lpstr>สกพ.!Print_Area</vt:lpstr>
      <vt:lpstr>สง.ก.ต.ช.!Print_Area</vt:lpstr>
      <vt:lpstr>สง.ก.ตร.!Print_Area</vt:lpstr>
      <vt:lpstr>สง.นรป.!Print_Area</vt:lpstr>
      <vt:lpstr>สตม.!Print_Area</vt:lpstr>
      <vt:lpstr>สตส.!Print_Area</vt:lpstr>
      <vt:lpstr>สลก.ตร.!Print_Area</vt:lpstr>
      <vt:lpstr>Sheet2!Print_Titles</vt:lpstr>
      <vt:lpstr>Sheet3!Print_Titles</vt:lpstr>
      <vt:lpstr>Sheet4!Print_Titles</vt:lpstr>
      <vt:lpstr>Units!Print_Titles</vt:lpstr>
      <vt:lpstr>กมค.!Print_Titles</vt:lpstr>
      <vt:lpstr>จต.!Print_Titles</vt:lpstr>
      <vt:lpstr>บ.ตร.!Print_Titles</vt:lpstr>
      <vt:lpstr>บช.ก.!Print_Titles</vt:lpstr>
      <vt:lpstr>บช.ตชด.!Print_Titles</vt:lpstr>
      <vt:lpstr>บช.น.!Print_Titles</vt:lpstr>
      <vt:lpstr>บช.ปส.!Print_Titles</vt:lpstr>
      <vt:lpstr>บช.ศ.!Print_Titles</vt:lpstr>
      <vt:lpstr>บช.ส.!Print_Titles</vt:lpstr>
      <vt:lpstr>ภ.1!Print_Titles</vt:lpstr>
      <vt:lpstr>ภ.2!Print_Titles</vt:lpstr>
      <vt:lpstr>ภ.3!Print_Titles</vt:lpstr>
      <vt:lpstr>ภ.4!Print_Titles</vt:lpstr>
      <vt:lpstr>ภ.5!Print_Titles</vt:lpstr>
      <vt:lpstr>ภ.6!Print_Titles</vt:lpstr>
      <vt:lpstr>ภ.7!Print_Titles</vt:lpstr>
      <vt:lpstr>ภ.8!Print_Titles</vt:lpstr>
      <vt:lpstr>ภ.9!Print_Titles</vt:lpstr>
      <vt:lpstr>รพ.ตร.!Print_Titles</vt:lpstr>
      <vt:lpstr>รร.นรต.!Print_Titles</vt:lpstr>
      <vt:lpstr>ศชต.!Print_Titles</vt:lpstr>
      <vt:lpstr>สกบ.!Print_Titles</vt:lpstr>
      <vt:lpstr>สกพ.!Print_Titles</vt:lpstr>
      <vt:lpstr>สง.ก.ตร.!Print_Titles</vt:lpstr>
      <vt:lpstr>สงป.!Print_Titles</vt:lpstr>
      <vt:lpstr>สตม.!Print_Titles</vt:lpstr>
      <vt:lpstr>สตส.!Print_Titles</vt:lpstr>
      <vt:lpstr>สท.!Print_Titles</vt:lpstr>
      <vt:lpstr>สทส.!Print_Titles</vt:lpstr>
      <vt:lpstr>สพฐ.ตร.!Print_Titles</vt:lpstr>
      <vt:lpstr>สยศ.ตร.!Print_Titles</vt:lpstr>
      <vt:lpstr>สลก.ตร.!Print_Titles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HP</cp:lastModifiedBy>
  <cp:lastPrinted>2015-11-04T04:54:29Z</cp:lastPrinted>
  <dcterms:created xsi:type="dcterms:W3CDTF">2005-03-31T08:22:04Z</dcterms:created>
  <dcterms:modified xsi:type="dcterms:W3CDTF">2015-12-23T05:01:41Z</dcterms:modified>
</cp:coreProperties>
</file>